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drawings/drawing1.xml" ContentType="application/vnd.openxmlformats-officedocument.drawing+xml"/>
  <Override PartName="/xl/comments26.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7.xml" ContentType="application/vnd.openxmlformats-officedocument.spreadsheetml.comment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xml"/>
  <Override PartName="/xl/ctrlProps/ctrlProp1.xml" ContentType="application/vnd.ms-excel.controlpropertie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https://coscda-my.sharepoint.com/personal/jhampton_coscda_org/Documents/Policy Topics/Community Development/"/>
    </mc:Choice>
  </mc:AlternateContent>
  <xr:revisionPtr revIDLastSave="0" documentId="8_{0750003C-2056-42D8-ABD7-6C3FA286F433}" xr6:coauthVersionLast="47" xr6:coauthVersionMax="47" xr10:uidLastSave="{00000000-0000-0000-0000-000000000000}"/>
  <bookViews>
    <workbookView xWindow="-110" yWindow="-110" windowWidth="19420" windowHeight="11500" tabRatio="915" firstSheet="13" activeTab="24" xr2:uid="{96E171C4-77FA-40CC-9304-BD8A2364AB4E}"/>
  </bookViews>
  <sheets>
    <sheet name="Sep'24" sheetId="254" r:id="rId1"/>
    <sheet name="Oct'24" sheetId="255" r:id="rId2"/>
    <sheet name="Nov'24" sheetId="256" r:id="rId3"/>
    <sheet name="Dec'24" sheetId="257" r:id="rId4"/>
    <sheet name="Jan'25" sheetId="258" r:id="rId5"/>
    <sheet name="Feb'25" sheetId="259" r:id="rId6"/>
    <sheet name="Mar'25" sheetId="260" r:id="rId7"/>
    <sheet name="Apr'25" sheetId="262" r:id="rId8"/>
    <sheet name="May'25" sheetId="263" r:id="rId9"/>
    <sheet name="Jun'25" sheetId="264" r:id="rId10"/>
    <sheet name="Jul'25" sheetId="265" r:id="rId11"/>
    <sheet name="Aug'25" sheetId="266" r:id="rId12"/>
    <sheet name="Sep'25" sheetId="267" r:id="rId13"/>
    <sheet name="Oct'25" sheetId="268" r:id="rId14"/>
    <sheet name="Nov'25" sheetId="269" r:id="rId15"/>
    <sheet name="Dec'25" sheetId="270" r:id="rId16"/>
    <sheet name="Jan'26" sheetId="271" r:id="rId17"/>
    <sheet name="Feb'26" sheetId="272" r:id="rId18"/>
    <sheet name="Mar'26" sheetId="273" r:id="rId19"/>
    <sheet name="Apr'26" sheetId="274" r:id="rId20"/>
    <sheet name="May'26" sheetId="275" r:id="rId21"/>
    <sheet name="Jun'26" sheetId="276" r:id="rId22"/>
    <sheet name="Jul'26" sheetId="277" r:id="rId23"/>
    <sheet name="Aug'26" sheetId="278" r:id="rId24"/>
    <sheet name="Sep'26" sheetId="279" r:id="rId25"/>
    <sheet name="US Chart" sheetId="3" r:id="rId26"/>
    <sheet name="State Chart" sheetId="4" r:id="rId27"/>
    <sheet name="Rankings" sheetId="5" r:id="rId28"/>
    <sheet name="States by Mo" sheetId="8" r:id="rId29"/>
    <sheet name="Column Descriptions" sheetId="58" r:id="rId30"/>
    <sheet name="template" sheetId="34" state="hidden" r:id="rId31"/>
    <sheet name="LOCCS Import" sheetId="36" state="hidden" r:id="rId32"/>
  </sheets>
  <externalReferences>
    <externalReference r:id="rId33"/>
  </externalReferences>
  <definedNames>
    <definedName name="_xlnm._FilterDatabase" localSheetId="7" hidden="1">'Apr''25'!$A$2:$Q$52</definedName>
    <definedName name="_xlnm._FilterDatabase" localSheetId="17" hidden="1">'Feb''26'!$A$2:$Q$52</definedName>
    <definedName name="_xlnm._FilterDatabase" localSheetId="20" hidden="1">'May''26'!$A$1:$Q$57</definedName>
    <definedName name="_xlnm._FilterDatabase" localSheetId="14" hidden="1">'Nov''25'!$A$2:$Q$52</definedName>
    <definedName name="_xlnm._FilterDatabase" localSheetId="27" hidden="1">Rankings!$A$2:$J$2</definedName>
    <definedName name="_xlnm._FilterDatabase" localSheetId="28" hidden="1">'States by Mo'!$A$2:$BF$2</definedName>
    <definedName name="Assumptions">#REF!</definedName>
    <definedName name="Current_month">#REF!</definedName>
    <definedName name="CurrentFY">'US Chart'!$Z$4</definedName>
    <definedName name="FY_ratios" localSheetId="7">'[1]States by Mo'!$A$3:$BE$53</definedName>
    <definedName name="FY_ratios" localSheetId="19">'[1]States by Mo'!$A$3:$BE$53</definedName>
    <definedName name="FY_ratios" localSheetId="11">'[1]States by Mo'!$A$3:$BE$53</definedName>
    <definedName name="FY_ratios" localSheetId="23">'[1]States by Mo'!$A$3:$BE$53</definedName>
    <definedName name="FY_ratios" localSheetId="3">'[1]States by Mo'!$A$3:$BE$53</definedName>
    <definedName name="FY_ratios" localSheetId="15">'[1]States by Mo'!$A$3:$BE$53</definedName>
    <definedName name="FY_ratios" localSheetId="5">'[1]States by Mo'!$A$3:$BE$53</definedName>
    <definedName name="FY_ratios" localSheetId="17">'[1]States by Mo'!$A$3:$BE$53</definedName>
    <definedName name="FY_ratios" localSheetId="4">'[1]States by Mo'!$A$3:$BE$53</definedName>
    <definedName name="FY_ratios" localSheetId="16">'[1]States by Mo'!$A$3:$BE$53</definedName>
    <definedName name="FY_ratios" localSheetId="10">'[1]States by Mo'!$A$3:$BE$53</definedName>
    <definedName name="FY_ratios" localSheetId="22">'[1]States by Mo'!$A$3:$BE$53</definedName>
    <definedName name="FY_ratios" localSheetId="9">'[1]States by Mo'!$A$3:$BE$53</definedName>
    <definedName name="FY_ratios" localSheetId="21">'[1]States by Mo'!$A$3:$BE$53</definedName>
    <definedName name="FY_ratios" localSheetId="6">'[1]States by Mo'!$A$3:$BE$53</definedName>
    <definedName name="FY_ratios" localSheetId="18">'[1]States by Mo'!$A$3:$BE$53</definedName>
    <definedName name="FY_ratios" localSheetId="8">'[1]States by Mo'!$A$3:$BE$53</definedName>
    <definedName name="FY_ratios" localSheetId="20">'[1]States by Mo'!$A$3:$BE$53</definedName>
    <definedName name="FY_ratios" localSheetId="2">'[1]States by Mo'!$A$3:$BE$53</definedName>
    <definedName name="FY_ratios" localSheetId="14">'[1]States by Mo'!$A$3:$BE$53</definedName>
    <definedName name="FY_ratios" localSheetId="1">'[1]States by Mo'!$A$3:$BE$53</definedName>
    <definedName name="FY_ratios" localSheetId="13">'[1]States by Mo'!$A$3:$BE$53</definedName>
    <definedName name="FY_ratios" localSheetId="0">'[1]States by Mo'!$A$3:$BE$53</definedName>
    <definedName name="FY_ratios" localSheetId="12">'[1]States by Mo'!$A$3:$BE$53</definedName>
    <definedName name="FY_ratios" localSheetId="24">'[1]States by Mo'!$A$3:$BE$53</definedName>
    <definedName name="FY_ratios" localSheetId="30">'[1]States by Mo'!$A$3:$BE$53</definedName>
    <definedName name="FY_ratios">'States by Mo'!$A$3:$AE$53</definedName>
    <definedName name="_xlnm.Print_Area" localSheetId="27">Rankings!$A$1:$J$112</definedName>
    <definedName name="_xlnm.Print_Area" localSheetId="26">'State Chart'!$A$40:$Z$75</definedName>
    <definedName name="_xlnm.Print_Area" localSheetId="28">'States by Mo'!$A$1:$BF$55</definedName>
    <definedName name="_xlnm.Print_Area" localSheetId="25">'US Chart'!$A$1:$Z$44</definedName>
    <definedName name="_xlnm.Print_Titles" localSheetId="26">'State Chart'!$2:$7</definedName>
    <definedName name="_xlnm.Print_Titles" localSheetId="28">'States by Mo'!$A:$A</definedName>
    <definedName name="StateAbbrev">#REF!</definedName>
    <definedName name="StateNames" localSheetId="7">[1]tables!$A$2:$F$51</definedName>
    <definedName name="StateNames" localSheetId="19">[1]tables!$A$2:$F$51</definedName>
    <definedName name="StateNames" localSheetId="11">[1]tables!$A$2:$F$51</definedName>
    <definedName name="StateNames" localSheetId="23">[1]tables!$A$2:$F$51</definedName>
    <definedName name="StateNames" localSheetId="3">[1]tables!$A$2:$F$51</definedName>
    <definedName name="StateNames" localSheetId="15">[1]tables!$A$2:$F$51</definedName>
    <definedName name="StateNames" localSheetId="5">[1]tables!$A$2:$F$51</definedName>
    <definedName name="StateNames" localSheetId="17">[1]tables!$A$2:$F$51</definedName>
    <definedName name="StateNames" localSheetId="4">[1]tables!$A$2:$F$51</definedName>
    <definedName name="StateNames" localSheetId="16">[1]tables!$A$2:$F$51</definedName>
    <definedName name="StateNames" localSheetId="10">[1]tables!$A$2:$F$51</definedName>
    <definedName name="StateNames" localSheetId="22">[1]tables!$A$2:$F$51</definedName>
    <definedName name="StateNames" localSheetId="9">[1]tables!$A$2:$F$51</definedName>
    <definedName name="StateNames" localSheetId="21">[1]tables!$A$2:$F$51</definedName>
    <definedName name="StateNames" localSheetId="6">[1]tables!$A$2:$F$51</definedName>
    <definedName name="StateNames" localSheetId="18">[1]tables!$A$2:$F$51</definedName>
    <definedName name="StateNames" localSheetId="8">[1]tables!$A$2:$F$51</definedName>
    <definedName name="StateNames" localSheetId="20">[1]tables!$A$2:$F$51</definedName>
    <definedName name="StateNames" localSheetId="2">[1]tables!$A$2:$F$51</definedName>
    <definedName name="StateNames" localSheetId="14">[1]tables!$A$2:$F$51</definedName>
    <definedName name="StateNames" localSheetId="1">[1]tables!$A$2:$F$51</definedName>
    <definedName name="StateNames" localSheetId="13">[1]tables!$A$2:$F$51</definedName>
    <definedName name="StateNames" localSheetId="0">[1]tables!$A$2:$F$51</definedName>
    <definedName name="StateNames" localSheetId="12">[1]tables!$A$2:$F$51</definedName>
    <definedName name="StateNames" localSheetId="24">[1]tables!$A$2:$F$51</definedName>
    <definedName name="StateNames" localSheetId="30">[1]tables!$A$2:$F$51</definedName>
    <definedName name="StateNames">#REF!</definedName>
    <definedName name="Z_28FC536B_D002_46C1_BBDB_2C80C9C1F584_.wvu.Cols" localSheetId="27" hidden="1">Rankings!#REF!,Rankings!#REF!,Rankings!#REF!,Rankings!#REF!,Rankings!#REF!</definedName>
    <definedName name="Z_28FC536B_D002_46C1_BBDB_2C80C9C1F584_.wvu.Cols" localSheetId="28" hidden="1">'States by Mo'!$C:$O,'States by Mo'!$AB:$AC,'States by Mo'!$AE:$AE,'States by Mo'!#REF!,'States by Mo'!#REF!</definedName>
    <definedName name="Z_28FC536B_D002_46C1_BBDB_2C80C9C1F584_.wvu.FilterData" localSheetId="27" hidden="1">Rankings!$A$2:$J$2</definedName>
    <definedName name="Z_28FC536B_D002_46C1_BBDB_2C80C9C1F584_.wvu.FilterData" localSheetId="28" hidden="1">'States by Mo'!$A$2:$AE$55</definedName>
    <definedName name="Z_28FC536B_D002_46C1_BBDB_2C80C9C1F584_.wvu.PrintArea" localSheetId="26" hidden="1">'State Chart'!$A$40:$Z$75</definedName>
    <definedName name="Z_28FC536B_D002_46C1_BBDB_2C80C9C1F584_.wvu.PrintArea" localSheetId="25" hidden="1">'US Chart'!$A$1:$Z$44</definedName>
    <definedName name="Z_28FC536B_D002_46C1_BBDB_2C80C9C1F584_.wvu.PrintTitles" localSheetId="27" hidden="1">Rankings!$A:$A</definedName>
    <definedName name="Z_28FC536B_D002_46C1_BBDB_2C80C9C1F584_.wvu.PrintTitles" localSheetId="26" hidden="1">'State Chart'!$2:$7</definedName>
    <definedName name="Z_28FC536B_D002_46C1_BBDB_2C80C9C1F584_.wvu.PrintTitles" localSheetId="28" hidden="1">'States by Mo'!$A:$A</definedName>
    <definedName name="Z_9EABD39C_C291_4CF5_B682_DCC807F32D0A_.wvu.Cols" localSheetId="27" hidden="1">Rankings!#REF!,Rankings!$D:$D,Rankings!$F:$F,Rankings!$H:$H,Rankings!$J:$J</definedName>
    <definedName name="Z_9EABD39C_C291_4CF5_B682_DCC807F32D0A_.wvu.Cols" localSheetId="28" hidden="1">'States by Mo'!$C:$O,'States by Mo'!$AB:$AC,'States by Mo'!$AE:$AE,'States by Mo'!#REF!,'States by Mo'!#REF!</definedName>
    <definedName name="Z_9EABD39C_C291_4CF5_B682_DCC807F32D0A_.wvu.FilterData" localSheetId="27" hidden="1">Rankings!$A$2:$J$2</definedName>
    <definedName name="Z_9EABD39C_C291_4CF5_B682_DCC807F32D0A_.wvu.FilterData" localSheetId="28" hidden="1">'States by Mo'!$A$2:$AE$55</definedName>
    <definedName name="Z_9EABD39C_C291_4CF5_B682_DCC807F32D0A_.wvu.PrintArea" localSheetId="26" hidden="1">'State Chart'!$A$40:$Z$75</definedName>
    <definedName name="Z_9EABD39C_C291_4CF5_B682_DCC807F32D0A_.wvu.PrintArea" localSheetId="25" hidden="1">'US Chart'!$A$1:$Z$44</definedName>
    <definedName name="Z_9EABD39C_C291_4CF5_B682_DCC807F32D0A_.wvu.PrintTitles" localSheetId="27" hidden="1">Rankings!$A:$A</definedName>
    <definedName name="Z_9EABD39C_C291_4CF5_B682_DCC807F32D0A_.wvu.PrintTitles" localSheetId="26" hidden="1">'State Chart'!$2:$7</definedName>
    <definedName name="Z_9EABD39C_C291_4CF5_B682_DCC807F32D0A_.wvu.PrintTitles" localSheetId="28" hidden="1">'States by Mo'!$A:$A</definedName>
    <definedName name="Z_D0B77BE1_5E62_11D6_980F_00B0D0B215DC_.wvu.Cols" localSheetId="27" hidden="1">Rankings!#REF!</definedName>
    <definedName name="Z_D0B77BE1_5E62_11D6_980F_00B0D0B215DC_.wvu.Cols" localSheetId="28" hidden="1">'States by Mo'!#REF!</definedName>
    <definedName name="Z_D0B77BE1_5E62_11D6_980F_00B0D0B215DC_.wvu.FilterData" localSheetId="27" hidden="1">Rankings!$A$2:$I$2</definedName>
    <definedName name="Z_D0B77BE1_5E62_11D6_980F_00B0D0B215DC_.wvu.FilterData" localSheetId="28" hidden="1">'States by Mo'!$A$2:$AE$52</definedName>
    <definedName name="Z_D0B77BE1_5E62_11D6_980F_00B0D0B215DC_.wvu.PrintArea" localSheetId="7" hidden="1">'Apr''25'!$A$1:$H$53</definedName>
    <definedName name="Z_D0B77BE1_5E62_11D6_980F_00B0D0B215DC_.wvu.PrintArea" localSheetId="19" hidden="1">'Apr''26'!$A$1:$H$53</definedName>
    <definedName name="Z_D0B77BE1_5E62_11D6_980F_00B0D0B215DC_.wvu.PrintArea" localSheetId="11" hidden="1">'Aug''25'!$A$1:$H$53</definedName>
    <definedName name="Z_D0B77BE1_5E62_11D6_980F_00B0D0B215DC_.wvu.PrintArea" localSheetId="23" hidden="1">'Aug''26'!$A$1:$H$53</definedName>
    <definedName name="Z_D0B77BE1_5E62_11D6_980F_00B0D0B215DC_.wvu.PrintArea" localSheetId="3" hidden="1">'Dec''24'!$A$1:$H$53</definedName>
    <definedName name="Z_D0B77BE1_5E62_11D6_980F_00B0D0B215DC_.wvu.PrintArea" localSheetId="15" hidden="1">'Dec''25'!$A$1:$H$53</definedName>
    <definedName name="Z_D0B77BE1_5E62_11D6_980F_00B0D0B215DC_.wvu.PrintArea" localSheetId="5" hidden="1">'Feb''25'!$A$1:$H$53</definedName>
    <definedName name="Z_D0B77BE1_5E62_11D6_980F_00B0D0B215DC_.wvu.PrintArea" localSheetId="17" hidden="1">'Feb''26'!$A$1:$H$53</definedName>
    <definedName name="Z_D0B77BE1_5E62_11D6_980F_00B0D0B215DC_.wvu.PrintArea" localSheetId="4" hidden="1">'Jan''25'!$A$1:$H$53</definedName>
    <definedName name="Z_D0B77BE1_5E62_11D6_980F_00B0D0B215DC_.wvu.PrintArea" localSheetId="16" hidden="1">'Jan''26'!$A$1:$H$53</definedName>
    <definedName name="Z_D0B77BE1_5E62_11D6_980F_00B0D0B215DC_.wvu.PrintArea" localSheetId="10" hidden="1">'Jul''25'!$A$1:$H$53</definedName>
    <definedName name="Z_D0B77BE1_5E62_11D6_980F_00B0D0B215DC_.wvu.PrintArea" localSheetId="22" hidden="1">'Jul''26'!$A$1:$H$53</definedName>
    <definedName name="Z_D0B77BE1_5E62_11D6_980F_00B0D0B215DC_.wvu.PrintArea" localSheetId="9" hidden="1">'Jun''25'!$A$1:$H$53</definedName>
    <definedName name="Z_D0B77BE1_5E62_11D6_980F_00B0D0B215DC_.wvu.PrintArea" localSheetId="21" hidden="1">'Jun''26'!$A$1:$H$53</definedName>
    <definedName name="Z_D0B77BE1_5E62_11D6_980F_00B0D0B215DC_.wvu.PrintArea" localSheetId="6" hidden="1">'Mar''25'!$A$1:$H$53</definedName>
    <definedName name="Z_D0B77BE1_5E62_11D6_980F_00B0D0B215DC_.wvu.PrintArea" localSheetId="18" hidden="1">'Mar''26'!$A$1:$H$53</definedName>
    <definedName name="Z_D0B77BE1_5E62_11D6_980F_00B0D0B215DC_.wvu.PrintArea" localSheetId="8" hidden="1">'May''25'!$A$1:$H$53</definedName>
    <definedName name="Z_D0B77BE1_5E62_11D6_980F_00B0D0B215DC_.wvu.PrintArea" localSheetId="20" hidden="1">'May''26'!$A$1:$H$53</definedName>
    <definedName name="Z_D0B77BE1_5E62_11D6_980F_00B0D0B215DC_.wvu.PrintArea" localSheetId="2" hidden="1">'Nov''24'!$A$1:$H$53</definedName>
    <definedName name="Z_D0B77BE1_5E62_11D6_980F_00B0D0B215DC_.wvu.PrintArea" localSheetId="14" hidden="1">'Nov''25'!$A$1:$H$53</definedName>
    <definedName name="Z_D0B77BE1_5E62_11D6_980F_00B0D0B215DC_.wvu.PrintArea" localSheetId="1" hidden="1">'Oct''24'!$A$1:$H$53</definedName>
    <definedName name="Z_D0B77BE1_5E62_11D6_980F_00B0D0B215DC_.wvu.PrintArea" localSheetId="13" hidden="1">'Oct''25'!$A$1:$H$53</definedName>
    <definedName name="Z_D0B77BE1_5E62_11D6_980F_00B0D0B215DC_.wvu.PrintArea" localSheetId="0" hidden="1">'Sep''24'!$A$1:$H$53</definedName>
    <definedName name="Z_D0B77BE1_5E62_11D6_980F_00B0D0B215DC_.wvu.PrintArea" localSheetId="12" hidden="1">'Sep''25'!$A$1:$H$53</definedName>
    <definedName name="Z_D0B77BE1_5E62_11D6_980F_00B0D0B215DC_.wvu.PrintArea" localSheetId="24" hidden="1">'Sep''26'!$A$1:$H$53</definedName>
    <definedName name="Z_D0B77BE1_5E62_11D6_980F_00B0D0B215DC_.wvu.PrintArea" localSheetId="26" hidden="1">'State Chart'!$A$4:$M$31</definedName>
    <definedName name="Z_D0B77BE1_5E62_11D6_980F_00B0D0B215DC_.wvu.PrintArea" localSheetId="30" hidden="1">template!$A$1:$H$53</definedName>
    <definedName name="Z_D0B77BE1_5E62_11D6_980F_00B0D0B215DC_.wvu.PrintArea" localSheetId="25" hidden="1">'US Chart'!$A$4:$M$32</definedName>
    <definedName name="Z_D0B77BE1_5E62_11D6_980F_00B0D0B215DC_.wvu.PrintTitles" localSheetId="27" hidden="1">Rankings!$A:$A</definedName>
    <definedName name="Z_D0B77BE1_5E62_11D6_980F_00B0D0B215DC_.wvu.PrintTitles" localSheetId="28" hidden="1">'States by Mo'!$A:$A</definedName>
    <definedName name="Z_FD259DEE_5DAB_11D6_980F_00B0D0B215DC_.wvu.FilterData" localSheetId="27" hidden="1">Rankings!$A$2:$I$2</definedName>
    <definedName name="Z_FD259DEE_5DAB_11D6_980F_00B0D0B215DC_.wvu.FilterData" localSheetId="28" hidden="1">'States by Mo'!$A$2:$AE$52</definedName>
    <definedName name="Z_FD259DEE_5DAB_11D6_980F_00B0D0B215DC_.wvu.PrintArea" localSheetId="7" hidden="1">'Apr''25'!$A$1:$H$53</definedName>
    <definedName name="Z_FD259DEE_5DAB_11D6_980F_00B0D0B215DC_.wvu.PrintArea" localSheetId="19" hidden="1">'Apr''26'!$A$1:$H$53</definedName>
    <definedName name="Z_FD259DEE_5DAB_11D6_980F_00B0D0B215DC_.wvu.PrintArea" localSheetId="11" hidden="1">'Aug''25'!$A$1:$H$53</definedName>
    <definedName name="Z_FD259DEE_5DAB_11D6_980F_00B0D0B215DC_.wvu.PrintArea" localSheetId="23" hidden="1">'Aug''26'!$A$1:$H$53</definedName>
    <definedName name="Z_FD259DEE_5DAB_11D6_980F_00B0D0B215DC_.wvu.PrintArea" localSheetId="3" hidden="1">'Dec''24'!$A$1:$H$53</definedName>
    <definedName name="Z_FD259DEE_5DAB_11D6_980F_00B0D0B215DC_.wvu.PrintArea" localSheetId="15" hidden="1">'Dec''25'!$A$1:$H$53</definedName>
    <definedName name="Z_FD259DEE_5DAB_11D6_980F_00B0D0B215DC_.wvu.PrintArea" localSheetId="5" hidden="1">'Feb''25'!$A$1:$H$53</definedName>
    <definedName name="Z_FD259DEE_5DAB_11D6_980F_00B0D0B215DC_.wvu.PrintArea" localSheetId="17" hidden="1">'Feb''26'!$A$1:$H$53</definedName>
    <definedName name="Z_FD259DEE_5DAB_11D6_980F_00B0D0B215DC_.wvu.PrintArea" localSheetId="4" hidden="1">'Jan''25'!$A$1:$H$53</definedName>
    <definedName name="Z_FD259DEE_5DAB_11D6_980F_00B0D0B215DC_.wvu.PrintArea" localSheetId="16" hidden="1">'Jan''26'!$A$1:$H$53</definedName>
    <definedName name="Z_FD259DEE_5DAB_11D6_980F_00B0D0B215DC_.wvu.PrintArea" localSheetId="10" hidden="1">'Jul''25'!$A$1:$H$53</definedName>
    <definedName name="Z_FD259DEE_5DAB_11D6_980F_00B0D0B215DC_.wvu.PrintArea" localSheetId="22" hidden="1">'Jul''26'!$A$1:$H$53</definedName>
    <definedName name="Z_FD259DEE_5DAB_11D6_980F_00B0D0B215DC_.wvu.PrintArea" localSheetId="9" hidden="1">'Jun''25'!$A$1:$H$53</definedName>
    <definedName name="Z_FD259DEE_5DAB_11D6_980F_00B0D0B215DC_.wvu.PrintArea" localSheetId="21" hidden="1">'Jun''26'!$A$1:$H$53</definedName>
    <definedName name="Z_FD259DEE_5DAB_11D6_980F_00B0D0B215DC_.wvu.PrintArea" localSheetId="6" hidden="1">'Mar''25'!$A$1:$H$53</definedName>
    <definedName name="Z_FD259DEE_5DAB_11D6_980F_00B0D0B215DC_.wvu.PrintArea" localSheetId="18" hidden="1">'Mar''26'!$A$1:$H$53</definedName>
    <definedName name="Z_FD259DEE_5DAB_11D6_980F_00B0D0B215DC_.wvu.PrintArea" localSheetId="8" hidden="1">'May''25'!$A$1:$H$53</definedName>
    <definedName name="Z_FD259DEE_5DAB_11D6_980F_00B0D0B215DC_.wvu.PrintArea" localSheetId="20" hidden="1">'May''26'!$A$1:$H$53</definedName>
    <definedName name="Z_FD259DEE_5DAB_11D6_980F_00B0D0B215DC_.wvu.PrintArea" localSheetId="2" hidden="1">'Nov''24'!$A$1:$H$53</definedName>
    <definedName name="Z_FD259DEE_5DAB_11D6_980F_00B0D0B215DC_.wvu.PrintArea" localSheetId="14" hidden="1">'Nov''25'!$A$1:$H$53</definedName>
    <definedName name="Z_FD259DEE_5DAB_11D6_980F_00B0D0B215DC_.wvu.PrintArea" localSheetId="1" hidden="1">'Oct''24'!$A$1:$H$53</definedName>
    <definedName name="Z_FD259DEE_5DAB_11D6_980F_00B0D0B215DC_.wvu.PrintArea" localSheetId="13" hidden="1">'Oct''25'!$A$1:$H$53</definedName>
    <definedName name="Z_FD259DEE_5DAB_11D6_980F_00B0D0B215DC_.wvu.PrintArea" localSheetId="0" hidden="1">'Sep''24'!$A$1:$H$53</definedName>
    <definedName name="Z_FD259DEE_5DAB_11D6_980F_00B0D0B215DC_.wvu.PrintArea" localSheetId="12" hidden="1">'Sep''25'!$A$1:$H$53</definedName>
    <definedName name="Z_FD259DEE_5DAB_11D6_980F_00B0D0B215DC_.wvu.PrintArea" localSheetId="24" hidden="1">'Sep''26'!$A$1:$H$53</definedName>
    <definedName name="Z_FD259DEE_5DAB_11D6_980F_00B0D0B215DC_.wvu.PrintArea" localSheetId="26" hidden="1">'State Chart'!$A$4:$M$31</definedName>
    <definedName name="Z_FD259DEE_5DAB_11D6_980F_00B0D0B215DC_.wvu.PrintArea" localSheetId="30" hidden="1">template!$A$1:$H$53</definedName>
    <definedName name="Z_FD259DEE_5DAB_11D6_980F_00B0D0B215DC_.wvu.PrintArea" localSheetId="25" hidden="1">'US Chart'!$A$4:$M$32</definedName>
    <definedName name="Z_FD259DEE_5DAB_11D6_980F_00B0D0B215DC_.wvu.PrintTitles" localSheetId="27" hidden="1">Rankings!$A:$A</definedName>
    <definedName name="Z_FD259DEE_5DAB_11D6_980F_00B0D0B215DC_.wvu.PrintTitles" localSheetId="28" hidden="1">'States by Mo'!$A:$A</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36" l="1"/>
  <c r="E1" i="36"/>
  <c r="F1" i="36"/>
  <c r="C3" i="36"/>
  <c r="E3" i="36"/>
  <c r="F3" i="36"/>
  <c r="G3" i="36"/>
  <c r="H3" i="36"/>
  <c r="I3" i="36"/>
  <c r="J3" i="36"/>
  <c r="K3" i="36"/>
  <c r="L3" i="36"/>
  <c r="M3" i="36"/>
  <c r="N3" i="36"/>
  <c r="O3" i="36"/>
  <c r="P3" i="36"/>
  <c r="Q3" i="36"/>
  <c r="R3" i="36"/>
  <c r="S3" i="36"/>
  <c r="T3" i="36"/>
  <c r="U3" i="36"/>
  <c r="V3" i="36"/>
  <c r="W3" i="36"/>
  <c r="X3" i="36"/>
  <c r="Y3" i="36"/>
  <c r="Z3" i="36"/>
  <c r="AA3" i="36"/>
  <c r="E4" i="36"/>
  <c r="F4" i="36"/>
  <c r="G4" i="36"/>
  <c r="H4" i="36"/>
  <c r="I4" i="36"/>
  <c r="J4" i="36"/>
  <c r="K4" i="36"/>
  <c r="L4" i="36"/>
  <c r="M4" i="36"/>
  <c r="N4" i="36"/>
  <c r="O4" i="36"/>
  <c r="P4" i="36"/>
  <c r="Q4" i="36"/>
  <c r="R4" i="36"/>
  <c r="S4" i="36"/>
  <c r="T4" i="36"/>
  <c r="U4" i="36"/>
  <c r="V4" i="36"/>
  <c r="W4" i="36"/>
  <c r="X4" i="36"/>
  <c r="Y4" i="36"/>
  <c r="Z4" i="36"/>
  <c r="AA4" i="36"/>
  <c r="F28" i="36"/>
  <c r="A1" i="34"/>
  <c r="B1" i="34"/>
  <c r="B3" i="34"/>
  <c r="D3" i="34" s="1"/>
  <c r="K3" i="34" s="1"/>
  <c r="C3" i="34"/>
  <c r="E3" i="34"/>
  <c r="F3" i="34"/>
  <c r="G3" i="34"/>
  <c r="H3" i="34"/>
  <c r="I3" i="34"/>
  <c r="J3" i="34"/>
  <c r="O3" i="34"/>
  <c r="P3" i="34"/>
  <c r="Q3" i="34"/>
  <c r="B4" i="34"/>
  <c r="D4" i="34" s="1"/>
  <c r="K4" i="34" s="1"/>
  <c r="C4" i="34"/>
  <c r="E4" i="34"/>
  <c r="F4" i="34"/>
  <c r="G4" i="34"/>
  <c r="H4" i="34"/>
  <c r="I4" i="34"/>
  <c r="J4" i="34"/>
  <c r="O4" i="34"/>
  <c r="P4" i="34"/>
  <c r="Q4" i="34"/>
  <c r="B5" i="34"/>
  <c r="D5" i="34" s="1"/>
  <c r="K5" i="34" s="1"/>
  <c r="C5" i="34"/>
  <c r="E5" i="34"/>
  <c r="F5" i="34"/>
  <c r="G5" i="34"/>
  <c r="H5" i="34"/>
  <c r="I5" i="34"/>
  <c r="J5" i="34"/>
  <c r="O5" i="34"/>
  <c r="P5" i="34"/>
  <c r="Q5" i="34"/>
  <c r="B6" i="34"/>
  <c r="D6" i="34" s="1"/>
  <c r="K6" i="34" s="1"/>
  <c r="C6" i="34"/>
  <c r="E6" i="34"/>
  <c r="F6" i="34"/>
  <c r="G6" i="34"/>
  <c r="H6" i="34"/>
  <c r="I6" i="34"/>
  <c r="J6" i="34"/>
  <c r="O6" i="34"/>
  <c r="P6" i="34"/>
  <c r="Q6" i="34"/>
  <c r="B7" i="34"/>
  <c r="D7" i="34" s="1"/>
  <c r="K7" i="34" s="1"/>
  <c r="C7" i="34"/>
  <c r="E7" i="34"/>
  <c r="F7" i="34"/>
  <c r="G7" i="34"/>
  <c r="H7" i="34"/>
  <c r="I7" i="34"/>
  <c r="J7" i="34"/>
  <c r="O7" i="34"/>
  <c r="P7" i="34"/>
  <c r="Q7" i="34"/>
  <c r="B8" i="34"/>
  <c r="D8" i="34" s="1"/>
  <c r="K8" i="34" s="1"/>
  <c r="C8" i="34"/>
  <c r="E8" i="34"/>
  <c r="F8" i="34"/>
  <c r="G8" i="34"/>
  <c r="H8" i="34"/>
  <c r="I8" i="34"/>
  <c r="J8" i="34"/>
  <c r="O8" i="34"/>
  <c r="P8" i="34"/>
  <c r="Q8" i="34"/>
  <c r="B9" i="34"/>
  <c r="D9" i="34" s="1"/>
  <c r="K9" i="34" s="1"/>
  <c r="C9" i="34"/>
  <c r="E9" i="34"/>
  <c r="F9" i="34"/>
  <c r="G9" i="34"/>
  <c r="H9" i="34"/>
  <c r="I9" i="34"/>
  <c r="J9" i="34"/>
  <c r="O9" i="34"/>
  <c r="P9" i="34"/>
  <c r="Q9" i="34"/>
  <c r="B10" i="34"/>
  <c r="D10" i="34" s="1"/>
  <c r="K10" i="34" s="1"/>
  <c r="C10" i="34"/>
  <c r="E10" i="34"/>
  <c r="F10" i="34"/>
  <c r="O2" i="4" s="1"/>
  <c r="G10" i="34"/>
  <c r="H10" i="34"/>
  <c r="I10" i="34"/>
  <c r="J10" i="34"/>
  <c r="O10" i="34"/>
  <c r="P10" i="34"/>
  <c r="O3" i="4" s="1"/>
  <c r="Q10" i="34"/>
  <c r="H3" i="4" s="1"/>
  <c r="B11" i="34"/>
  <c r="D11" i="34" s="1"/>
  <c r="K11" i="34" s="1"/>
  <c r="C11" i="34"/>
  <c r="E11" i="34"/>
  <c r="F11" i="34"/>
  <c r="G11" i="34"/>
  <c r="H11" i="34"/>
  <c r="I11" i="34"/>
  <c r="J11" i="34"/>
  <c r="O11" i="34"/>
  <c r="P11" i="34"/>
  <c r="Q11" i="34"/>
  <c r="B12" i="34"/>
  <c r="D12" i="34" s="1"/>
  <c r="K12" i="34" s="1"/>
  <c r="C12" i="34"/>
  <c r="E12" i="34"/>
  <c r="F12" i="34"/>
  <c r="G12" i="34"/>
  <c r="H12" i="34"/>
  <c r="I12" i="34"/>
  <c r="J12" i="34"/>
  <c r="O12" i="34"/>
  <c r="P12" i="34"/>
  <c r="Q12" i="34"/>
  <c r="B13" i="34"/>
  <c r="D13" i="34" s="1"/>
  <c r="K13" i="34" s="1"/>
  <c r="C13" i="34"/>
  <c r="E13" i="34"/>
  <c r="F13" i="34"/>
  <c r="G13" i="34"/>
  <c r="H13" i="34"/>
  <c r="I13" i="34"/>
  <c r="J13" i="34"/>
  <c r="O13" i="34"/>
  <c r="P13" i="34"/>
  <c r="Q13" i="34"/>
  <c r="B14" i="34"/>
  <c r="D14" i="34" s="1"/>
  <c r="K14" i="34" s="1"/>
  <c r="C14" i="34"/>
  <c r="E14" i="34"/>
  <c r="F14" i="34"/>
  <c r="G14" i="34"/>
  <c r="H14" i="34"/>
  <c r="I14" i="34"/>
  <c r="J14" i="34"/>
  <c r="O14" i="34"/>
  <c r="P14" i="34"/>
  <c r="Q14" i="34"/>
  <c r="B15" i="34"/>
  <c r="D15" i="34" s="1"/>
  <c r="K15" i="34" s="1"/>
  <c r="C15" i="34"/>
  <c r="E15" i="34"/>
  <c r="F15" i="34"/>
  <c r="G15" i="34"/>
  <c r="H15" i="34"/>
  <c r="I15" i="34"/>
  <c r="J15" i="34"/>
  <c r="O15" i="34"/>
  <c r="P15" i="34"/>
  <c r="Q15" i="34"/>
  <c r="B16" i="34"/>
  <c r="D16" i="34" s="1"/>
  <c r="K16" i="34" s="1"/>
  <c r="C16" i="34"/>
  <c r="E16" i="34"/>
  <c r="F16" i="34"/>
  <c r="G16" i="34"/>
  <c r="H16" i="34"/>
  <c r="I16" i="34"/>
  <c r="J16" i="34"/>
  <c r="O16" i="34"/>
  <c r="P16" i="34"/>
  <c r="Q16" i="34"/>
  <c r="B17" i="34"/>
  <c r="D17" i="34" s="1"/>
  <c r="K17" i="34" s="1"/>
  <c r="C17" i="34"/>
  <c r="E17" i="34"/>
  <c r="F17" i="34"/>
  <c r="G17" i="34"/>
  <c r="H17" i="34"/>
  <c r="I17" i="34"/>
  <c r="J17" i="34"/>
  <c r="O17" i="34"/>
  <c r="P17" i="34"/>
  <c r="Q17" i="34"/>
  <c r="B18" i="34"/>
  <c r="D18" i="34" s="1"/>
  <c r="K18" i="34" s="1"/>
  <c r="C18" i="34"/>
  <c r="P18" i="34" s="1"/>
  <c r="E18" i="34"/>
  <c r="F18" i="34"/>
  <c r="G18" i="34"/>
  <c r="H18" i="34"/>
  <c r="I18" i="34"/>
  <c r="J18" i="34"/>
  <c r="O18" i="34"/>
  <c r="Q18" i="34"/>
  <c r="B19" i="34"/>
  <c r="C19" i="34"/>
  <c r="E19" i="34"/>
  <c r="I19" i="34" s="1"/>
  <c r="F19" i="34"/>
  <c r="G19" i="34"/>
  <c r="H19" i="34"/>
  <c r="V12" i="36" s="1"/>
  <c r="J19" i="34"/>
  <c r="O19" i="34"/>
  <c r="Q19" i="34"/>
  <c r="B20" i="34"/>
  <c r="C20" i="34"/>
  <c r="D20" i="34"/>
  <c r="E20" i="34"/>
  <c r="F20" i="34"/>
  <c r="G20" i="34"/>
  <c r="H20" i="34"/>
  <c r="I20" i="34"/>
  <c r="J20" i="34"/>
  <c r="K20" i="34"/>
  <c r="L20" i="34"/>
  <c r="M20" i="34"/>
  <c r="O20" i="34"/>
  <c r="P20" i="34"/>
  <c r="Q20" i="34"/>
  <c r="B21" i="34"/>
  <c r="C21" i="34"/>
  <c r="D21" i="34"/>
  <c r="E21" i="34"/>
  <c r="F21" i="34"/>
  <c r="G21" i="34"/>
  <c r="H21" i="34"/>
  <c r="I21" i="34"/>
  <c r="J21" i="34"/>
  <c r="K21" i="34"/>
  <c r="L21" i="34"/>
  <c r="M21" i="34"/>
  <c r="O21" i="34"/>
  <c r="P21" i="34"/>
  <c r="Q21" i="34"/>
  <c r="B22" i="34"/>
  <c r="C22" i="34"/>
  <c r="D22" i="34"/>
  <c r="E22" i="34"/>
  <c r="F22" i="34"/>
  <c r="G22" i="34"/>
  <c r="H22" i="34"/>
  <c r="I22" i="34"/>
  <c r="J22" i="34"/>
  <c r="K22" i="34"/>
  <c r="L22" i="34"/>
  <c r="M22" i="34"/>
  <c r="O22" i="34"/>
  <c r="P22" i="34"/>
  <c r="Q22" i="34"/>
  <c r="B23" i="34"/>
  <c r="C23" i="34"/>
  <c r="D23" i="34"/>
  <c r="E23" i="34"/>
  <c r="F23" i="34"/>
  <c r="G23" i="34"/>
  <c r="H23" i="34"/>
  <c r="Z12" i="36" s="1"/>
  <c r="I23" i="34"/>
  <c r="J23" i="34"/>
  <c r="K23" i="34"/>
  <c r="L23" i="34"/>
  <c r="M23" i="34"/>
  <c r="O23" i="34"/>
  <c r="P23" i="34"/>
  <c r="Q23" i="34"/>
  <c r="B24" i="34"/>
  <c r="C24" i="34"/>
  <c r="D24" i="34"/>
  <c r="E24" i="34"/>
  <c r="F24" i="34"/>
  <c r="G24" i="34"/>
  <c r="AA11" i="36" s="1"/>
  <c r="H24" i="34"/>
  <c r="AA12" i="36" s="1"/>
  <c r="I24" i="34"/>
  <c r="J24" i="34"/>
  <c r="K24" i="34"/>
  <c r="L24" i="34"/>
  <c r="M24" i="34"/>
  <c r="O24" i="34"/>
  <c r="P24" i="34"/>
  <c r="Q24" i="34"/>
  <c r="B25" i="34"/>
  <c r="C25" i="34"/>
  <c r="D25" i="34"/>
  <c r="E25" i="34"/>
  <c r="F25" i="34"/>
  <c r="G25" i="34"/>
  <c r="H25" i="34"/>
  <c r="I25" i="34"/>
  <c r="J25" i="34"/>
  <c r="K25" i="34"/>
  <c r="L25" i="34"/>
  <c r="M25" i="34"/>
  <c r="O25" i="34"/>
  <c r="P25" i="34"/>
  <c r="Q25" i="34"/>
  <c r="B26" i="34"/>
  <c r="C26" i="34"/>
  <c r="D26" i="34"/>
  <c r="E26" i="34"/>
  <c r="F26" i="34"/>
  <c r="G26" i="34"/>
  <c r="AC11" i="36" s="1"/>
  <c r="H26" i="34"/>
  <c r="AC12" i="36" s="1"/>
  <c r="I26" i="34"/>
  <c r="J26" i="34"/>
  <c r="K26" i="34"/>
  <c r="L26" i="34"/>
  <c r="M26" i="34"/>
  <c r="O26" i="34"/>
  <c r="P26" i="34"/>
  <c r="Q26" i="34"/>
  <c r="B27" i="34"/>
  <c r="C27" i="34"/>
  <c r="D27" i="34"/>
  <c r="E27" i="34"/>
  <c r="F27" i="34"/>
  <c r="G27" i="34"/>
  <c r="AD11" i="36" s="1"/>
  <c r="H27" i="34"/>
  <c r="AD12" i="36" s="1"/>
  <c r="I27" i="34"/>
  <c r="J27" i="34"/>
  <c r="K27" i="34"/>
  <c r="L27" i="34"/>
  <c r="M27" i="34"/>
  <c r="O27" i="34"/>
  <c r="P27" i="34"/>
  <c r="Q27" i="34"/>
  <c r="B28" i="34"/>
  <c r="C28" i="34"/>
  <c r="D28" i="34"/>
  <c r="E28" i="34"/>
  <c r="F28" i="34"/>
  <c r="G28" i="34"/>
  <c r="AE11" i="36" s="1"/>
  <c r="H28" i="34"/>
  <c r="AE12" i="36" s="1"/>
  <c r="I28" i="34"/>
  <c r="J28" i="34"/>
  <c r="K28" i="34"/>
  <c r="L28" i="34"/>
  <c r="M28" i="34"/>
  <c r="O28" i="34"/>
  <c r="P28" i="34"/>
  <c r="Q28" i="34"/>
  <c r="B29" i="34"/>
  <c r="C29" i="34"/>
  <c r="D29" i="34"/>
  <c r="E29" i="34"/>
  <c r="F29" i="34"/>
  <c r="G29" i="34"/>
  <c r="H29" i="34"/>
  <c r="I29" i="34"/>
  <c r="J29" i="34"/>
  <c r="K29" i="34"/>
  <c r="L29" i="34"/>
  <c r="M29" i="34"/>
  <c r="O29" i="34"/>
  <c r="P29" i="34"/>
  <c r="Q29" i="34"/>
  <c r="B30" i="34"/>
  <c r="C30" i="34"/>
  <c r="D30" i="34"/>
  <c r="E30" i="34"/>
  <c r="F30" i="34"/>
  <c r="G30" i="34"/>
  <c r="H30" i="34"/>
  <c r="I30" i="34"/>
  <c r="J30" i="34"/>
  <c r="K30" i="34"/>
  <c r="L30" i="34"/>
  <c r="M30" i="34"/>
  <c r="O30" i="34"/>
  <c r="P30" i="34"/>
  <c r="Q30" i="34"/>
  <c r="B31" i="34"/>
  <c r="C31" i="34"/>
  <c r="D31" i="34"/>
  <c r="E31" i="34"/>
  <c r="F31" i="34"/>
  <c r="G31" i="34"/>
  <c r="H31" i="34"/>
  <c r="I31" i="34"/>
  <c r="J31" i="34"/>
  <c r="K31" i="34"/>
  <c r="L31" i="34"/>
  <c r="M31" i="34"/>
  <c r="O31" i="34"/>
  <c r="P31" i="34"/>
  <c r="Q31" i="34"/>
  <c r="B32" i="34"/>
  <c r="C32" i="34"/>
  <c r="D32" i="34"/>
  <c r="E32" i="34"/>
  <c r="F32" i="34"/>
  <c r="G32" i="34"/>
  <c r="H32" i="34"/>
  <c r="AI12" i="36" s="1"/>
  <c r="I32" i="34"/>
  <c r="J32" i="34"/>
  <c r="K32" i="34"/>
  <c r="L32" i="34"/>
  <c r="M32" i="34"/>
  <c r="O32" i="34"/>
  <c r="P32" i="34"/>
  <c r="Q32" i="34"/>
  <c r="B33" i="34"/>
  <c r="C33" i="34"/>
  <c r="D33" i="34"/>
  <c r="E33" i="34"/>
  <c r="F33" i="34"/>
  <c r="G33" i="34"/>
  <c r="AJ11" i="36" s="1"/>
  <c r="H33" i="34"/>
  <c r="AJ12" i="36" s="1"/>
  <c r="I33" i="34"/>
  <c r="J33" i="34"/>
  <c r="K33" i="34"/>
  <c r="L33" i="34"/>
  <c r="M33" i="34"/>
  <c r="O33" i="34"/>
  <c r="P33" i="34"/>
  <c r="Q33" i="34"/>
  <c r="B34" i="34"/>
  <c r="C34" i="34"/>
  <c r="D34" i="34"/>
  <c r="E34" i="34"/>
  <c r="F34" i="34"/>
  <c r="G34" i="34"/>
  <c r="AK11" i="36" s="1"/>
  <c r="H34" i="34"/>
  <c r="AK12" i="36" s="1"/>
  <c r="I34" i="34"/>
  <c r="J34" i="34"/>
  <c r="K34" i="34"/>
  <c r="L34" i="34"/>
  <c r="M34" i="34"/>
  <c r="O34" i="34"/>
  <c r="P34" i="34"/>
  <c r="Q34" i="34"/>
  <c r="B35" i="34"/>
  <c r="C35" i="34"/>
  <c r="D35" i="34"/>
  <c r="E35" i="34"/>
  <c r="F35" i="34"/>
  <c r="G35" i="34"/>
  <c r="AL11" i="36" s="1"/>
  <c r="H35" i="34"/>
  <c r="AL12" i="36" s="1"/>
  <c r="I35" i="34"/>
  <c r="J35" i="34"/>
  <c r="K35" i="34"/>
  <c r="L35" i="34"/>
  <c r="M35" i="34"/>
  <c r="O35" i="34"/>
  <c r="P35" i="34"/>
  <c r="Q35" i="34"/>
  <c r="B36" i="34"/>
  <c r="C36" i="34"/>
  <c r="D36" i="34"/>
  <c r="E36" i="34"/>
  <c r="F36" i="34"/>
  <c r="G36" i="34"/>
  <c r="H36" i="34"/>
  <c r="I36" i="34"/>
  <c r="J36" i="34"/>
  <c r="K36" i="34"/>
  <c r="L36" i="34"/>
  <c r="M36" i="34"/>
  <c r="O36" i="34"/>
  <c r="P36" i="34"/>
  <c r="Q36" i="34"/>
  <c r="B37" i="34"/>
  <c r="C37" i="34"/>
  <c r="D37" i="34"/>
  <c r="E37" i="34"/>
  <c r="F37" i="34"/>
  <c r="G37" i="34"/>
  <c r="H37" i="34"/>
  <c r="I37" i="34"/>
  <c r="J37" i="34"/>
  <c r="K37" i="34"/>
  <c r="L37" i="34"/>
  <c r="M37" i="34"/>
  <c r="O37" i="34"/>
  <c r="P37" i="34"/>
  <c r="Q37" i="34"/>
  <c r="B38" i="34"/>
  <c r="C38" i="34"/>
  <c r="D38" i="34"/>
  <c r="E38" i="34"/>
  <c r="F38" i="34"/>
  <c r="G38" i="34"/>
  <c r="H38" i="34"/>
  <c r="I38" i="34"/>
  <c r="J38" i="34"/>
  <c r="K38" i="34"/>
  <c r="L38" i="34"/>
  <c r="M38" i="34"/>
  <c r="O38" i="34"/>
  <c r="P38" i="34"/>
  <c r="Q38" i="34"/>
  <c r="B39" i="34"/>
  <c r="C39" i="34"/>
  <c r="D39" i="34"/>
  <c r="E39" i="34"/>
  <c r="F39" i="34"/>
  <c r="G39" i="34"/>
  <c r="H39" i="34"/>
  <c r="I39" i="34"/>
  <c r="J39" i="34"/>
  <c r="K39" i="34"/>
  <c r="L39" i="34"/>
  <c r="M39" i="34"/>
  <c r="O39" i="34"/>
  <c r="P39" i="34"/>
  <c r="Q39" i="34"/>
  <c r="B40" i="34"/>
  <c r="C40" i="34"/>
  <c r="D40" i="34"/>
  <c r="E40" i="34"/>
  <c r="F40" i="34"/>
  <c r="G40" i="34"/>
  <c r="H40" i="34"/>
  <c r="I40" i="34"/>
  <c r="J40" i="34"/>
  <c r="K40" i="34"/>
  <c r="L40" i="34"/>
  <c r="M40" i="34"/>
  <c r="O40" i="34"/>
  <c r="P40" i="34"/>
  <c r="Q40" i="34"/>
  <c r="B41" i="34"/>
  <c r="C41" i="34"/>
  <c r="D41" i="34"/>
  <c r="E41" i="34"/>
  <c r="F41" i="34"/>
  <c r="G41" i="34"/>
  <c r="H41" i="34"/>
  <c r="I41" i="34"/>
  <c r="J41" i="34"/>
  <c r="K41" i="34"/>
  <c r="L41" i="34"/>
  <c r="M41" i="34"/>
  <c r="O41" i="34"/>
  <c r="P41" i="34"/>
  <c r="Q41" i="34"/>
  <c r="B42" i="34"/>
  <c r="C42" i="34"/>
  <c r="D42" i="34"/>
  <c r="E42" i="34"/>
  <c r="F42" i="34"/>
  <c r="G42" i="34"/>
  <c r="AS11" i="36" s="1"/>
  <c r="H42" i="34"/>
  <c r="AS12" i="36" s="1"/>
  <c r="I42" i="34"/>
  <c r="J42" i="34"/>
  <c r="K42" i="34"/>
  <c r="L42" i="34"/>
  <c r="M42" i="34"/>
  <c r="O42" i="34"/>
  <c r="P42" i="34"/>
  <c r="Q42" i="34"/>
  <c r="B43" i="34"/>
  <c r="C43" i="34"/>
  <c r="D43" i="34"/>
  <c r="E43" i="34"/>
  <c r="F43" i="34"/>
  <c r="G43" i="34"/>
  <c r="AT11" i="36" s="1"/>
  <c r="H43" i="34"/>
  <c r="AT12" i="36" s="1"/>
  <c r="I43" i="34"/>
  <c r="J43" i="34"/>
  <c r="K43" i="34"/>
  <c r="L43" i="34"/>
  <c r="M43" i="34"/>
  <c r="O43" i="34"/>
  <c r="P43" i="34"/>
  <c r="Q43" i="34"/>
  <c r="B44" i="34"/>
  <c r="C44" i="34"/>
  <c r="D44" i="34"/>
  <c r="E44" i="34"/>
  <c r="F44" i="34"/>
  <c r="G44" i="34"/>
  <c r="H44" i="34"/>
  <c r="I44" i="34"/>
  <c r="J44" i="34"/>
  <c r="K44" i="34"/>
  <c r="L44" i="34"/>
  <c r="M44" i="34"/>
  <c r="O44" i="34"/>
  <c r="P44" i="34"/>
  <c r="Q44" i="34"/>
  <c r="B45" i="34"/>
  <c r="C45" i="34"/>
  <c r="D45" i="34"/>
  <c r="E45" i="34"/>
  <c r="F45" i="34"/>
  <c r="G45" i="34"/>
  <c r="H45" i="34"/>
  <c r="I45" i="34"/>
  <c r="J45" i="34"/>
  <c r="K45" i="34"/>
  <c r="L45" i="34"/>
  <c r="M45" i="34"/>
  <c r="O45" i="34"/>
  <c r="P45" i="34"/>
  <c r="Q45" i="34"/>
  <c r="B46" i="34"/>
  <c r="C46" i="34"/>
  <c r="P46" i="34" s="1"/>
  <c r="D46" i="34"/>
  <c r="E46" i="34"/>
  <c r="I46" i="34" s="1"/>
  <c r="F46" i="34"/>
  <c r="G46" i="34"/>
  <c r="H46" i="34"/>
  <c r="J46" i="34"/>
  <c r="O46" i="34"/>
  <c r="Q46" i="34"/>
  <c r="B47" i="34"/>
  <c r="C47" i="34"/>
  <c r="D47" i="34"/>
  <c r="E47" i="34"/>
  <c r="F47" i="34"/>
  <c r="G47" i="34"/>
  <c r="H47" i="34"/>
  <c r="I47" i="34"/>
  <c r="J47" i="34"/>
  <c r="K47" i="34"/>
  <c r="L47" i="34"/>
  <c r="M47" i="34"/>
  <c r="O47" i="34"/>
  <c r="P47" i="34"/>
  <c r="Q47" i="34"/>
  <c r="B48" i="34"/>
  <c r="C48" i="34"/>
  <c r="D48" i="34"/>
  <c r="E48" i="34"/>
  <c r="F48" i="34"/>
  <c r="G48" i="34"/>
  <c r="AY11" i="36" s="1"/>
  <c r="H48" i="34"/>
  <c r="AY12" i="36" s="1"/>
  <c r="I48" i="34"/>
  <c r="J48" i="34"/>
  <c r="K48" i="34"/>
  <c r="L48" i="34"/>
  <c r="M48" i="34"/>
  <c r="O48" i="34"/>
  <c r="P48" i="34"/>
  <c r="Q48" i="34"/>
  <c r="B49" i="34"/>
  <c r="C49" i="34"/>
  <c r="D49" i="34"/>
  <c r="E49" i="34"/>
  <c r="F49" i="34"/>
  <c r="G49" i="34"/>
  <c r="H49" i="34"/>
  <c r="I49" i="34"/>
  <c r="J49" i="34"/>
  <c r="K49" i="34"/>
  <c r="L49" i="34"/>
  <c r="M49" i="34"/>
  <c r="O49" i="34"/>
  <c r="P49" i="34"/>
  <c r="Q49" i="34"/>
  <c r="B50" i="34"/>
  <c r="C50" i="34"/>
  <c r="D50" i="34"/>
  <c r="E50" i="34"/>
  <c r="F50" i="34"/>
  <c r="G50" i="34"/>
  <c r="BA11" i="36" s="1"/>
  <c r="H50" i="34"/>
  <c r="BA12" i="36" s="1"/>
  <c r="I50" i="34"/>
  <c r="J50" i="34"/>
  <c r="K50" i="34"/>
  <c r="L50" i="34"/>
  <c r="M50" i="34"/>
  <c r="O50" i="34"/>
  <c r="P50" i="34"/>
  <c r="Q50" i="34"/>
  <c r="B51" i="34"/>
  <c r="C51" i="34"/>
  <c r="D51" i="34"/>
  <c r="E51" i="34"/>
  <c r="F51" i="34"/>
  <c r="G51" i="34"/>
  <c r="H51" i="34"/>
  <c r="I51" i="34"/>
  <c r="J51" i="34"/>
  <c r="K51" i="34"/>
  <c r="L51" i="34"/>
  <c r="M51" i="34"/>
  <c r="O51" i="34"/>
  <c r="P51" i="34"/>
  <c r="Q51" i="34"/>
  <c r="B52" i="34"/>
  <c r="C52" i="34"/>
  <c r="D52" i="34"/>
  <c r="E52" i="34"/>
  <c r="F52" i="34"/>
  <c r="G52" i="34"/>
  <c r="BC11" i="36" s="1"/>
  <c r="H52" i="34"/>
  <c r="BC12" i="36" s="1"/>
  <c r="I52" i="34"/>
  <c r="J52" i="34"/>
  <c r="K52" i="34"/>
  <c r="L52" i="34"/>
  <c r="M52" i="34"/>
  <c r="O52" i="34"/>
  <c r="P52" i="34"/>
  <c r="Q52" i="34"/>
  <c r="B53" i="34"/>
  <c r="F7" i="36" s="1"/>
  <c r="C53" i="34"/>
  <c r="F8" i="36" s="1"/>
  <c r="D53" i="34"/>
  <c r="E53" i="34"/>
  <c r="F9" i="36" s="1"/>
  <c r="F53" i="34"/>
  <c r="F10" i="36" s="1"/>
  <c r="G53" i="34"/>
  <c r="H53" i="34"/>
  <c r="I53" i="34"/>
  <c r="G56" i="34"/>
  <c r="H57" i="34"/>
  <c r="D2" i="8"/>
  <c r="E2" i="8"/>
  <c r="F2" i="8"/>
  <c r="G2" i="8"/>
  <c r="H2" i="8"/>
  <c r="I2" i="8"/>
  <c r="J2" i="8"/>
  <c r="K2" i="8"/>
  <c r="L2" i="8"/>
  <c r="M2" i="8"/>
  <c r="N2" i="8"/>
  <c r="O2" i="8"/>
  <c r="P2" i="8"/>
  <c r="Q2" i="8"/>
  <c r="R2" i="8"/>
  <c r="S2" i="8"/>
  <c r="T2" i="8"/>
  <c r="U2" i="8"/>
  <c r="V2" i="8"/>
  <c r="W2" i="8"/>
  <c r="X2" i="8"/>
  <c r="Y2" i="8"/>
  <c r="Z2" i="8"/>
  <c r="AA2" i="8"/>
  <c r="AG2" i="8"/>
  <c r="AH2" i="8"/>
  <c r="AI2" i="8"/>
  <c r="AJ2" i="8"/>
  <c r="AK2" i="8"/>
  <c r="AL2" i="8"/>
  <c r="AM2" i="8"/>
  <c r="AN2" i="8"/>
  <c r="AO2" i="8"/>
  <c r="AP2" i="8"/>
  <c r="AQ2" i="8"/>
  <c r="AR2" i="8"/>
  <c r="AS2" i="8"/>
  <c r="AT2" i="8"/>
  <c r="AU2" i="8"/>
  <c r="AV2" i="8"/>
  <c r="AW2" i="8"/>
  <c r="AX2" i="8"/>
  <c r="AY2" i="8"/>
  <c r="AZ2" i="8"/>
  <c r="BA2" i="8"/>
  <c r="BB2" i="8"/>
  <c r="BC2" i="8"/>
  <c r="BD2" i="8"/>
  <c r="D3" i="8"/>
  <c r="E3" i="8"/>
  <c r="F3" i="8"/>
  <c r="G3" i="8"/>
  <c r="H3" i="8"/>
  <c r="I3" i="8"/>
  <c r="J3" i="8"/>
  <c r="K3" i="8"/>
  <c r="L3" i="8"/>
  <c r="M3" i="8"/>
  <c r="N3" i="8"/>
  <c r="O3" i="8"/>
  <c r="P3" i="8"/>
  <c r="Q3" i="8"/>
  <c r="R3" i="8"/>
  <c r="S3" i="8"/>
  <c r="T3" i="8"/>
  <c r="U3" i="8"/>
  <c r="V3" i="8"/>
  <c r="W3" i="8"/>
  <c r="X3" i="8"/>
  <c r="Y3" i="8"/>
  <c r="Z3" i="8"/>
  <c r="AA3" i="8"/>
  <c r="AG3" i="8"/>
  <c r="AH3" i="8"/>
  <c r="AI3" i="8"/>
  <c r="AJ3" i="8"/>
  <c r="AK3" i="8"/>
  <c r="AL3" i="8"/>
  <c r="AM3" i="8"/>
  <c r="AN3" i="8"/>
  <c r="AO3" i="8"/>
  <c r="AP3" i="8"/>
  <c r="AQ3" i="8"/>
  <c r="AR3" i="8"/>
  <c r="AS3" i="8"/>
  <c r="BE3" i="8" s="1"/>
  <c r="AT3" i="8"/>
  <c r="AU3" i="8"/>
  <c r="AV3" i="8"/>
  <c r="AW3" i="8"/>
  <c r="AX3" i="8"/>
  <c r="AY3" i="8"/>
  <c r="AZ3" i="8"/>
  <c r="BA3" i="8"/>
  <c r="BB3" i="8"/>
  <c r="BC3" i="8"/>
  <c r="BD3" i="8"/>
  <c r="D4" i="8"/>
  <c r="E4" i="8"/>
  <c r="F4" i="8"/>
  <c r="G4" i="8"/>
  <c r="H4" i="8"/>
  <c r="I4" i="8"/>
  <c r="J4" i="8"/>
  <c r="K4" i="8"/>
  <c r="L4" i="8"/>
  <c r="M4" i="8"/>
  <c r="N4" i="8"/>
  <c r="O4" i="8"/>
  <c r="P4" i="8"/>
  <c r="Q4" i="8"/>
  <c r="R4" i="8"/>
  <c r="S4" i="8"/>
  <c r="T4" i="8"/>
  <c r="U4" i="8"/>
  <c r="V4" i="8"/>
  <c r="W4" i="8"/>
  <c r="X4" i="8"/>
  <c r="Y4" i="8"/>
  <c r="Z4" i="8"/>
  <c r="AA4" i="8"/>
  <c r="AG4" i="8"/>
  <c r="AH4" i="8"/>
  <c r="AI4" i="8"/>
  <c r="AJ4" i="8"/>
  <c r="AK4" i="8"/>
  <c r="AL4" i="8"/>
  <c r="AM4" i="8"/>
  <c r="AN4" i="8"/>
  <c r="AO4" i="8"/>
  <c r="AP4" i="8"/>
  <c r="AQ4" i="8"/>
  <c r="AR4" i="8"/>
  <c r="AS4" i="8"/>
  <c r="BE4" i="8" s="1"/>
  <c r="AT4" i="8"/>
  <c r="AU4" i="8"/>
  <c r="AV4" i="8"/>
  <c r="AW4" i="8"/>
  <c r="AX4" i="8"/>
  <c r="AY4" i="8"/>
  <c r="AZ4" i="8"/>
  <c r="BA4" i="8"/>
  <c r="BB4" i="8"/>
  <c r="BC4" i="8"/>
  <c r="BD4" i="8"/>
  <c r="D5" i="8"/>
  <c r="E5" i="8"/>
  <c r="F5" i="8"/>
  <c r="G5" i="8"/>
  <c r="H5" i="8"/>
  <c r="I5" i="8"/>
  <c r="J5" i="8"/>
  <c r="K5" i="8"/>
  <c r="L5" i="8"/>
  <c r="M5" i="8"/>
  <c r="N5" i="8"/>
  <c r="O5" i="8"/>
  <c r="P5" i="8"/>
  <c r="Q5" i="8"/>
  <c r="R5" i="8"/>
  <c r="S5" i="8"/>
  <c r="T5" i="8"/>
  <c r="U5" i="8"/>
  <c r="V5" i="8"/>
  <c r="W5" i="8"/>
  <c r="X5" i="8"/>
  <c r="Y5" i="8"/>
  <c r="Z5" i="8"/>
  <c r="AA5" i="8"/>
  <c r="AG5" i="8"/>
  <c r="AH5" i="8"/>
  <c r="AI5" i="8"/>
  <c r="AJ5" i="8"/>
  <c r="AK5" i="8"/>
  <c r="AL5" i="8"/>
  <c r="AM5" i="8"/>
  <c r="AN5" i="8"/>
  <c r="AO5" i="8"/>
  <c r="AP5" i="8"/>
  <c r="AQ5" i="8"/>
  <c r="AR5" i="8"/>
  <c r="AS5" i="8"/>
  <c r="BE5" i="8" s="1"/>
  <c r="AT5" i="8"/>
  <c r="AU5" i="8"/>
  <c r="AV5" i="8"/>
  <c r="AW5" i="8"/>
  <c r="AX5" i="8"/>
  <c r="AY5" i="8"/>
  <c r="AZ5" i="8"/>
  <c r="BA5" i="8"/>
  <c r="BB5" i="8"/>
  <c r="BC5" i="8"/>
  <c r="BD5" i="8"/>
  <c r="D6" i="8"/>
  <c r="E6" i="8"/>
  <c r="F6" i="8"/>
  <c r="G6" i="8"/>
  <c r="H6" i="8"/>
  <c r="I6" i="8"/>
  <c r="J6" i="8"/>
  <c r="K6" i="8"/>
  <c r="L6" i="8"/>
  <c r="M6" i="8"/>
  <c r="N6" i="8"/>
  <c r="O6" i="8"/>
  <c r="P6" i="8"/>
  <c r="Q6" i="8"/>
  <c r="R6" i="8"/>
  <c r="S6" i="8"/>
  <c r="T6" i="8"/>
  <c r="U6" i="8"/>
  <c r="V6" i="8"/>
  <c r="W6" i="8"/>
  <c r="X6" i="8"/>
  <c r="Y6" i="8"/>
  <c r="Z6" i="8"/>
  <c r="AA6" i="8"/>
  <c r="AG6" i="8"/>
  <c r="AH6" i="8"/>
  <c r="AI6" i="8"/>
  <c r="AJ6" i="8"/>
  <c r="AK6" i="8"/>
  <c r="AL6" i="8"/>
  <c r="AM6" i="8"/>
  <c r="AN6" i="8"/>
  <c r="AO6" i="8"/>
  <c r="AP6" i="8"/>
  <c r="AQ6" i="8"/>
  <c r="AR6" i="8"/>
  <c r="AS6" i="8"/>
  <c r="BE6" i="8" s="1"/>
  <c r="AT6" i="8"/>
  <c r="AU6" i="8"/>
  <c r="AV6" i="8"/>
  <c r="AW6" i="8"/>
  <c r="AX6" i="8"/>
  <c r="AY6" i="8"/>
  <c r="AZ6" i="8"/>
  <c r="BA6" i="8"/>
  <c r="BB6" i="8"/>
  <c r="BC6" i="8"/>
  <c r="BD6" i="8"/>
  <c r="D7" i="8"/>
  <c r="E7" i="8"/>
  <c r="F7" i="8"/>
  <c r="G7" i="8"/>
  <c r="H7" i="8"/>
  <c r="I7" i="8"/>
  <c r="J7" i="8"/>
  <c r="K7" i="8"/>
  <c r="L7" i="8"/>
  <c r="M7" i="8"/>
  <c r="N7" i="8"/>
  <c r="O7" i="8"/>
  <c r="P7" i="8"/>
  <c r="Q7" i="8"/>
  <c r="R7" i="8"/>
  <c r="S7" i="8"/>
  <c r="T7" i="8"/>
  <c r="U7" i="8"/>
  <c r="V7" i="8"/>
  <c r="W7" i="8"/>
  <c r="X7" i="8"/>
  <c r="Y7" i="8"/>
  <c r="Z7" i="8"/>
  <c r="AA7" i="8"/>
  <c r="AG7" i="8"/>
  <c r="AH7" i="8"/>
  <c r="AI7" i="8"/>
  <c r="AJ7" i="8"/>
  <c r="AK7" i="8"/>
  <c r="AL7" i="8"/>
  <c r="AM7" i="8"/>
  <c r="AN7" i="8"/>
  <c r="AO7" i="8"/>
  <c r="AP7" i="8"/>
  <c r="AQ7" i="8"/>
  <c r="AR7" i="8"/>
  <c r="AS7" i="8"/>
  <c r="AT7" i="8"/>
  <c r="AU7" i="8"/>
  <c r="AV7" i="8"/>
  <c r="AW7" i="8"/>
  <c r="AX7" i="8"/>
  <c r="AY7" i="8"/>
  <c r="AZ7" i="8"/>
  <c r="BA7" i="8"/>
  <c r="BB7" i="8"/>
  <c r="BC7" i="8"/>
  <c r="D8" i="8"/>
  <c r="E8" i="8"/>
  <c r="F8" i="8"/>
  <c r="G8" i="8"/>
  <c r="H8" i="8"/>
  <c r="I8" i="8"/>
  <c r="J8" i="8"/>
  <c r="K8" i="8"/>
  <c r="L8" i="8"/>
  <c r="M8" i="8"/>
  <c r="N8" i="8"/>
  <c r="O8" i="8"/>
  <c r="P8" i="8"/>
  <c r="Q8" i="8"/>
  <c r="R8" i="8"/>
  <c r="S8" i="8"/>
  <c r="T8" i="8"/>
  <c r="U8" i="8"/>
  <c r="V8" i="8"/>
  <c r="W8" i="8"/>
  <c r="X8" i="8"/>
  <c r="Y8" i="8"/>
  <c r="Z8" i="8"/>
  <c r="AG8" i="8"/>
  <c r="AH8" i="8"/>
  <c r="AI8" i="8"/>
  <c r="AJ8" i="8"/>
  <c r="AK8" i="8"/>
  <c r="AL8" i="8"/>
  <c r="AM8" i="8"/>
  <c r="AN8" i="8"/>
  <c r="AO8" i="8"/>
  <c r="AP8" i="8"/>
  <c r="AQ8" i="8"/>
  <c r="AR8" i="8"/>
  <c r="AS8" i="8"/>
  <c r="AT8" i="8"/>
  <c r="AU8" i="8"/>
  <c r="AV8" i="8"/>
  <c r="AW8" i="8"/>
  <c r="AX8" i="8"/>
  <c r="AY8" i="8"/>
  <c r="AZ8" i="8"/>
  <c r="BA8" i="8"/>
  <c r="BB8" i="8"/>
  <c r="BC8" i="8"/>
  <c r="D9" i="8"/>
  <c r="E9" i="8"/>
  <c r="F9" i="8"/>
  <c r="G9" i="8"/>
  <c r="H9" i="8"/>
  <c r="I9" i="8"/>
  <c r="J9" i="8"/>
  <c r="K9" i="8"/>
  <c r="L9" i="8"/>
  <c r="M9" i="8"/>
  <c r="N9" i="8"/>
  <c r="O9" i="8"/>
  <c r="P9" i="8"/>
  <c r="Q9" i="8"/>
  <c r="R9" i="8"/>
  <c r="S9" i="8"/>
  <c r="T9" i="8"/>
  <c r="U9" i="8"/>
  <c r="V9" i="8"/>
  <c r="W9" i="8"/>
  <c r="X9" i="8"/>
  <c r="Y9" i="8"/>
  <c r="Z9" i="8"/>
  <c r="AG9" i="8"/>
  <c r="AH9" i="8"/>
  <c r="AI9" i="8"/>
  <c r="AJ9" i="8"/>
  <c r="AK9" i="8"/>
  <c r="AL9" i="8"/>
  <c r="AM9" i="8"/>
  <c r="AN9" i="8"/>
  <c r="AO9" i="8"/>
  <c r="AP9" i="8"/>
  <c r="AQ9" i="8"/>
  <c r="AR9" i="8"/>
  <c r="AS9" i="8"/>
  <c r="AT9" i="8"/>
  <c r="AU9" i="8"/>
  <c r="AV9" i="8"/>
  <c r="AW9" i="8"/>
  <c r="AX9" i="8"/>
  <c r="AY9" i="8"/>
  <c r="AZ9" i="8"/>
  <c r="BA9" i="8"/>
  <c r="BB9" i="8"/>
  <c r="BC9" i="8"/>
  <c r="D10" i="8"/>
  <c r="B6" i="4" s="1"/>
  <c r="E10" i="8"/>
  <c r="C6" i="4" s="1"/>
  <c r="F10" i="8"/>
  <c r="D6" i="4" s="1"/>
  <c r="G10" i="8"/>
  <c r="E6" i="4" s="1"/>
  <c r="H10" i="8"/>
  <c r="F6" i="4" s="1"/>
  <c r="I10" i="8"/>
  <c r="G6" i="4" s="1"/>
  <c r="J10" i="8"/>
  <c r="H6" i="4" s="1"/>
  <c r="K10" i="8"/>
  <c r="I6" i="4" s="1"/>
  <c r="L10" i="8"/>
  <c r="J6" i="4" s="1"/>
  <c r="M10" i="8"/>
  <c r="K6" i="4" s="1"/>
  <c r="N10" i="8"/>
  <c r="L6" i="4" s="1"/>
  <c r="O10" i="8"/>
  <c r="M6" i="4" s="1"/>
  <c r="P10" i="8"/>
  <c r="Q10" i="8"/>
  <c r="O6" i="4" s="1"/>
  <c r="R10" i="8"/>
  <c r="P6" i="4" s="1"/>
  <c r="S10" i="8"/>
  <c r="Q6" i="4" s="1"/>
  <c r="T10" i="8"/>
  <c r="R6" i="4" s="1"/>
  <c r="U10" i="8"/>
  <c r="S6" i="4" s="1"/>
  <c r="V10" i="8"/>
  <c r="T6" i="4" s="1"/>
  <c r="W10" i="8"/>
  <c r="U6" i="4" s="1"/>
  <c r="X10" i="8"/>
  <c r="V6" i="4" s="1"/>
  <c r="Y10" i="8"/>
  <c r="W6" i="4" s="1"/>
  <c r="Z10" i="8"/>
  <c r="X6" i="4" s="1"/>
  <c r="AG10" i="8"/>
  <c r="B7" i="4" s="1"/>
  <c r="AH10" i="8"/>
  <c r="C7" i="4" s="1"/>
  <c r="AI10" i="8"/>
  <c r="D7" i="4" s="1"/>
  <c r="AJ10" i="8"/>
  <c r="E7" i="4" s="1"/>
  <c r="AK10" i="8"/>
  <c r="F7" i="4" s="1"/>
  <c r="AL10" i="8"/>
  <c r="G7" i="4" s="1"/>
  <c r="AM10" i="8"/>
  <c r="H7" i="4" s="1"/>
  <c r="AN10" i="8"/>
  <c r="I7" i="4" s="1"/>
  <c r="AO10" i="8"/>
  <c r="J7" i="4" s="1"/>
  <c r="AP10" i="8"/>
  <c r="K7" i="4" s="1"/>
  <c r="AQ10" i="8"/>
  <c r="L7" i="4" s="1"/>
  <c r="AR10" i="8"/>
  <c r="M7" i="4" s="1"/>
  <c r="AS10" i="8"/>
  <c r="AT10" i="8"/>
  <c r="O7" i="4" s="1"/>
  <c r="AU10" i="8"/>
  <c r="P7" i="4" s="1"/>
  <c r="AV10" i="8"/>
  <c r="Q7" i="4" s="1"/>
  <c r="AW10" i="8"/>
  <c r="R7" i="4" s="1"/>
  <c r="AX10" i="8"/>
  <c r="S7" i="4" s="1"/>
  <c r="AY10" i="8"/>
  <c r="T7" i="4" s="1"/>
  <c r="AZ10" i="8"/>
  <c r="U7" i="4" s="1"/>
  <c r="BA10" i="8"/>
  <c r="V7" i="4" s="1"/>
  <c r="BB10" i="8"/>
  <c r="W7" i="4" s="1"/>
  <c r="BC10" i="8"/>
  <c r="X7" i="4" s="1"/>
  <c r="D11" i="8"/>
  <c r="E11" i="8"/>
  <c r="F11" i="8"/>
  <c r="G11" i="8"/>
  <c r="H11" i="8"/>
  <c r="I11" i="8"/>
  <c r="J11" i="8"/>
  <c r="K11" i="8"/>
  <c r="L11" i="8"/>
  <c r="M11" i="8"/>
  <c r="N11" i="8"/>
  <c r="O11" i="8"/>
  <c r="P11" i="8"/>
  <c r="Q11" i="8"/>
  <c r="R11" i="8"/>
  <c r="S11" i="8"/>
  <c r="T11" i="8"/>
  <c r="U11" i="8"/>
  <c r="V11" i="8"/>
  <c r="W11" i="8"/>
  <c r="X11" i="8"/>
  <c r="Y11" i="8"/>
  <c r="Z11" i="8"/>
  <c r="AG11" i="8"/>
  <c r="AH11" i="8"/>
  <c r="AI11" i="8"/>
  <c r="AJ11" i="8"/>
  <c r="AK11" i="8"/>
  <c r="AL11" i="8"/>
  <c r="AM11" i="8"/>
  <c r="AN11" i="8"/>
  <c r="AO11" i="8"/>
  <c r="AP11" i="8"/>
  <c r="AQ11" i="8"/>
  <c r="AR11" i="8"/>
  <c r="AS11" i="8"/>
  <c r="AT11" i="8"/>
  <c r="AU11" i="8"/>
  <c r="AV11" i="8"/>
  <c r="AW11" i="8"/>
  <c r="AX11" i="8"/>
  <c r="AY11" i="8"/>
  <c r="AZ11" i="8"/>
  <c r="BA11" i="8"/>
  <c r="BB11" i="8"/>
  <c r="BC11" i="8"/>
  <c r="D12" i="8"/>
  <c r="E12" i="8"/>
  <c r="F12" i="8"/>
  <c r="G12" i="8"/>
  <c r="H12" i="8"/>
  <c r="I12" i="8"/>
  <c r="J12" i="8"/>
  <c r="K12" i="8"/>
  <c r="L12" i="8"/>
  <c r="M12" i="8"/>
  <c r="N12" i="8"/>
  <c r="O12" i="8"/>
  <c r="P12" i="8"/>
  <c r="Q12" i="8"/>
  <c r="R12" i="8"/>
  <c r="S12" i="8"/>
  <c r="T12" i="8"/>
  <c r="U12" i="8"/>
  <c r="V12" i="8"/>
  <c r="W12" i="8"/>
  <c r="X12" i="8"/>
  <c r="Y12" i="8"/>
  <c r="Z12" i="8"/>
  <c r="AG12" i="8"/>
  <c r="AH12" i="8"/>
  <c r="AI12" i="8"/>
  <c r="AJ12" i="8"/>
  <c r="AK12" i="8"/>
  <c r="AL12" i="8"/>
  <c r="AM12" i="8"/>
  <c r="AN12" i="8"/>
  <c r="AO12" i="8"/>
  <c r="AP12" i="8"/>
  <c r="AQ12" i="8"/>
  <c r="AR12" i="8"/>
  <c r="AS12" i="8"/>
  <c r="AT12" i="8"/>
  <c r="AU12" i="8"/>
  <c r="AV12" i="8"/>
  <c r="AW12" i="8"/>
  <c r="AX12" i="8"/>
  <c r="AY12" i="8"/>
  <c r="AZ12" i="8"/>
  <c r="BA12" i="8"/>
  <c r="BB12" i="8"/>
  <c r="BC12" i="8"/>
  <c r="D13" i="8"/>
  <c r="E13" i="8"/>
  <c r="F13" i="8"/>
  <c r="G13" i="8"/>
  <c r="H13" i="8"/>
  <c r="I13" i="8"/>
  <c r="J13" i="8"/>
  <c r="K13" i="8"/>
  <c r="L13" i="8"/>
  <c r="M13" i="8"/>
  <c r="N13" i="8"/>
  <c r="O13" i="8"/>
  <c r="P13" i="8"/>
  <c r="Q13" i="8"/>
  <c r="R13" i="8"/>
  <c r="S13" i="8"/>
  <c r="T13" i="8"/>
  <c r="U13" i="8"/>
  <c r="V13" i="8"/>
  <c r="W13" i="8"/>
  <c r="X13" i="8"/>
  <c r="Y13" i="8"/>
  <c r="Z13" i="8"/>
  <c r="AG13" i="8"/>
  <c r="AH13" i="8"/>
  <c r="AI13" i="8"/>
  <c r="AJ13" i="8"/>
  <c r="AK13" i="8"/>
  <c r="AL13" i="8"/>
  <c r="AM13" i="8"/>
  <c r="AN13" i="8"/>
  <c r="AO13" i="8"/>
  <c r="AP13" i="8"/>
  <c r="AQ13" i="8"/>
  <c r="AR13" i="8"/>
  <c r="AS13" i="8"/>
  <c r="AT13" i="8"/>
  <c r="AU13" i="8"/>
  <c r="AV13" i="8"/>
  <c r="AW13" i="8"/>
  <c r="AX13" i="8"/>
  <c r="AY13" i="8"/>
  <c r="AZ13" i="8"/>
  <c r="BA13" i="8"/>
  <c r="BB13" i="8"/>
  <c r="BC13" i="8"/>
  <c r="D14" i="8"/>
  <c r="E14" i="8"/>
  <c r="F14" i="8"/>
  <c r="G14" i="8"/>
  <c r="H14" i="8"/>
  <c r="I14" i="8"/>
  <c r="J14" i="8"/>
  <c r="K14" i="8"/>
  <c r="L14" i="8"/>
  <c r="M14" i="8"/>
  <c r="N14" i="8"/>
  <c r="O14" i="8"/>
  <c r="P14" i="8"/>
  <c r="Q14" i="8"/>
  <c r="R14" i="8"/>
  <c r="S14" i="8"/>
  <c r="T14" i="8"/>
  <c r="U14" i="8"/>
  <c r="V14" i="8"/>
  <c r="W14" i="8"/>
  <c r="X14" i="8"/>
  <c r="Y14" i="8"/>
  <c r="Z14" i="8"/>
  <c r="AG14" i="8"/>
  <c r="AH14" i="8"/>
  <c r="AI14" i="8"/>
  <c r="AJ14" i="8"/>
  <c r="AK14" i="8"/>
  <c r="AL14" i="8"/>
  <c r="AM14" i="8"/>
  <c r="AN14" i="8"/>
  <c r="AO14" i="8"/>
  <c r="AP14" i="8"/>
  <c r="AQ14" i="8"/>
  <c r="AR14" i="8"/>
  <c r="AS14" i="8"/>
  <c r="AT14" i="8"/>
  <c r="AU14" i="8"/>
  <c r="AV14" i="8"/>
  <c r="AW14" i="8"/>
  <c r="AX14" i="8"/>
  <c r="AY14" i="8"/>
  <c r="AZ14" i="8"/>
  <c r="BA14" i="8"/>
  <c r="BB14" i="8"/>
  <c r="BC14" i="8"/>
  <c r="D15" i="8"/>
  <c r="E15" i="8"/>
  <c r="F15" i="8"/>
  <c r="G15" i="8"/>
  <c r="H15" i="8"/>
  <c r="I15" i="8"/>
  <c r="J15" i="8"/>
  <c r="K15" i="8"/>
  <c r="L15" i="8"/>
  <c r="M15" i="8"/>
  <c r="N15" i="8"/>
  <c r="O15" i="8"/>
  <c r="P15" i="8"/>
  <c r="Q15" i="8"/>
  <c r="R15" i="8"/>
  <c r="S15" i="8"/>
  <c r="T15" i="8"/>
  <c r="U15" i="8"/>
  <c r="V15" i="8"/>
  <c r="W15" i="8"/>
  <c r="X15" i="8"/>
  <c r="Y15" i="8"/>
  <c r="Z15" i="8"/>
  <c r="AG15" i="8"/>
  <c r="AH15" i="8"/>
  <c r="AI15" i="8"/>
  <c r="AJ15" i="8"/>
  <c r="AK15" i="8"/>
  <c r="AL15" i="8"/>
  <c r="AM15" i="8"/>
  <c r="AN15" i="8"/>
  <c r="AO15" i="8"/>
  <c r="AP15" i="8"/>
  <c r="AQ15" i="8"/>
  <c r="AR15" i="8"/>
  <c r="AS15" i="8"/>
  <c r="AT15" i="8"/>
  <c r="AU15" i="8"/>
  <c r="AV15" i="8"/>
  <c r="AW15" i="8"/>
  <c r="AX15" i="8"/>
  <c r="AY15" i="8"/>
  <c r="AZ15" i="8"/>
  <c r="BA15" i="8"/>
  <c r="BB15" i="8"/>
  <c r="BC15" i="8"/>
  <c r="D16" i="8"/>
  <c r="E16" i="8"/>
  <c r="F16" i="8"/>
  <c r="G16" i="8"/>
  <c r="H16" i="8"/>
  <c r="I16" i="8"/>
  <c r="J16" i="8"/>
  <c r="K16" i="8"/>
  <c r="L16" i="8"/>
  <c r="M16" i="8"/>
  <c r="N16" i="8"/>
  <c r="O16" i="8"/>
  <c r="P16" i="8"/>
  <c r="Q16" i="8"/>
  <c r="R16" i="8"/>
  <c r="S16" i="8"/>
  <c r="T16" i="8"/>
  <c r="U16" i="8"/>
  <c r="V16" i="8"/>
  <c r="W16" i="8"/>
  <c r="X16" i="8"/>
  <c r="Y16" i="8"/>
  <c r="Z16" i="8"/>
  <c r="AG16" i="8"/>
  <c r="AH16" i="8"/>
  <c r="AI16" i="8"/>
  <c r="AJ16" i="8"/>
  <c r="AK16" i="8"/>
  <c r="AL16" i="8"/>
  <c r="AM16" i="8"/>
  <c r="AN16" i="8"/>
  <c r="AO16" i="8"/>
  <c r="AP16" i="8"/>
  <c r="AQ16" i="8"/>
  <c r="AR16" i="8"/>
  <c r="AS16" i="8"/>
  <c r="AT16" i="8"/>
  <c r="AU16" i="8"/>
  <c r="AV16" i="8"/>
  <c r="AW16" i="8"/>
  <c r="AX16" i="8"/>
  <c r="AY16" i="8"/>
  <c r="AZ16" i="8"/>
  <c r="BA16" i="8"/>
  <c r="BB16" i="8"/>
  <c r="BC16" i="8"/>
  <c r="D17" i="8"/>
  <c r="E17" i="8"/>
  <c r="F17" i="8"/>
  <c r="G17" i="8"/>
  <c r="H17" i="8"/>
  <c r="I17" i="8"/>
  <c r="J17" i="8"/>
  <c r="K17" i="8"/>
  <c r="L17" i="8"/>
  <c r="M17" i="8"/>
  <c r="N17" i="8"/>
  <c r="O17" i="8"/>
  <c r="P17" i="8"/>
  <c r="Q17" i="8"/>
  <c r="R17" i="8"/>
  <c r="S17" i="8"/>
  <c r="T17" i="8"/>
  <c r="U17" i="8"/>
  <c r="V17" i="8"/>
  <c r="W17" i="8"/>
  <c r="X17" i="8"/>
  <c r="Y17" i="8"/>
  <c r="Z17" i="8"/>
  <c r="AG17" i="8"/>
  <c r="AH17" i="8"/>
  <c r="AI17" i="8"/>
  <c r="AJ17" i="8"/>
  <c r="AK17" i="8"/>
  <c r="AL17" i="8"/>
  <c r="AM17" i="8"/>
  <c r="AN17" i="8"/>
  <c r="AO17" i="8"/>
  <c r="AP17" i="8"/>
  <c r="AQ17" i="8"/>
  <c r="AR17" i="8"/>
  <c r="AS17" i="8"/>
  <c r="AT17" i="8"/>
  <c r="AU17" i="8"/>
  <c r="AV17" i="8"/>
  <c r="AW17" i="8"/>
  <c r="AX17" i="8"/>
  <c r="AY17" i="8"/>
  <c r="AZ17" i="8"/>
  <c r="BA17" i="8"/>
  <c r="BB17" i="8"/>
  <c r="BC17" i="8"/>
  <c r="D18" i="8"/>
  <c r="E18" i="8"/>
  <c r="F18" i="8"/>
  <c r="G18" i="8"/>
  <c r="H18" i="8"/>
  <c r="I18" i="8"/>
  <c r="J18" i="8"/>
  <c r="K18" i="8"/>
  <c r="L18" i="8"/>
  <c r="M18" i="8"/>
  <c r="N18" i="8"/>
  <c r="O18" i="8"/>
  <c r="P18" i="8"/>
  <c r="Q18" i="8"/>
  <c r="R18" i="8"/>
  <c r="S18" i="8"/>
  <c r="T18" i="8"/>
  <c r="U18" i="8"/>
  <c r="V18" i="8"/>
  <c r="W18" i="8"/>
  <c r="X18" i="8"/>
  <c r="Y18" i="8"/>
  <c r="Z18" i="8"/>
  <c r="AG18" i="8"/>
  <c r="AH18" i="8"/>
  <c r="AI18" i="8"/>
  <c r="AJ18" i="8"/>
  <c r="AK18" i="8"/>
  <c r="AL18" i="8"/>
  <c r="AM18" i="8"/>
  <c r="AN18" i="8"/>
  <c r="AO18" i="8"/>
  <c r="AP18" i="8"/>
  <c r="AQ18" i="8"/>
  <c r="AR18" i="8"/>
  <c r="AS18" i="8"/>
  <c r="AT18" i="8"/>
  <c r="AU18" i="8"/>
  <c r="AV18" i="8"/>
  <c r="AW18" i="8"/>
  <c r="AX18" i="8"/>
  <c r="AY18" i="8"/>
  <c r="AZ18" i="8"/>
  <c r="BA18" i="8"/>
  <c r="BB18" i="8"/>
  <c r="BC18" i="8"/>
  <c r="D19" i="8"/>
  <c r="E19" i="8"/>
  <c r="F19" i="8"/>
  <c r="G19" i="8"/>
  <c r="H19" i="8"/>
  <c r="I19" i="8"/>
  <c r="J19" i="8"/>
  <c r="K19" i="8"/>
  <c r="L19" i="8"/>
  <c r="M19" i="8"/>
  <c r="N19" i="8"/>
  <c r="O19" i="8"/>
  <c r="P19" i="8"/>
  <c r="Q19" i="8"/>
  <c r="R19" i="8"/>
  <c r="S19" i="8"/>
  <c r="T19" i="8"/>
  <c r="U19" i="8"/>
  <c r="V19" i="8"/>
  <c r="W19" i="8"/>
  <c r="X19" i="8"/>
  <c r="Y19" i="8"/>
  <c r="Z19" i="8"/>
  <c r="AG19" i="8"/>
  <c r="AH19" i="8"/>
  <c r="AI19" i="8"/>
  <c r="AJ19" i="8"/>
  <c r="AK19" i="8"/>
  <c r="AL19" i="8"/>
  <c r="AM19" i="8"/>
  <c r="AN19" i="8"/>
  <c r="AO19" i="8"/>
  <c r="AP19" i="8"/>
  <c r="AQ19" i="8"/>
  <c r="AR19" i="8"/>
  <c r="AS19" i="8"/>
  <c r="BE19" i="8" s="1"/>
  <c r="AT19" i="8"/>
  <c r="AU19" i="8"/>
  <c r="AV19" i="8"/>
  <c r="AW19" i="8"/>
  <c r="AX19" i="8"/>
  <c r="AY19" i="8"/>
  <c r="AZ19" i="8"/>
  <c r="BA19" i="8"/>
  <c r="BB19" i="8"/>
  <c r="BC19" i="8"/>
  <c r="BD19" i="8"/>
  <c r="D20" i="8"/>
  <c r="E20" i="8"/>
  <c r="F20" i="8"/>
  <c r="G20" i="8"/>
  <c r="H20" i="8"/>
  <c r="I20" i="8"/>
  <c r="J20" i="8"/>
  <c r="K20" i="8"/>
  <c r="L20" i="8"/>
  <c r="M20" i="8"/>
  <c r="N20" i="8"/>
  <c r="O20" i="8"/>
  <c r="P20" i="8"/>
  <c r="Q20" i="8"/>
  <c r="R20" i="8"/>
  <c r="S20" i="8"/>
  <c r="T20" i="8"/>
  <c r="U20" i="8"/>
  <c r="V20" i="8"/>
  <c r="W20" i="8"/>
  <c r="X20" i="8"/>
  <c r="Y20" i="8"/>
  <c r="Z20" i="8"/>
  <c r="AA20" i="8"/>
  <c r="AG20" i="8"/>
  <c r="AH20" i="8"/>
  <c r="AI20" i="8"/>
  <c r="AJ20" i="8"/>
  <c r="AK20" i="8"/>
  <c r="AL20" i="8"/>
  <c r="AM20" i="8"/>
  <c r="AN20" i="8"/>
  <c r="AO20" i="8"/>
  <c r="AP20" i="8"/>
  <c r="AQ20" i="8"/>
  <c r="AR20" i="8"/>
  <c r="AS20" i="8"/>
  <c r="BE20" i="8" s="1"/>
  <c r="AT20" i="8"/>
  <c r="AU20" i="8"/>
  <c r="AV20" i="8"/>
  <c r="AW20" i="8"/>
  <c r="AX20" i="8"/>
  <c r="AY20" i="8"/>
  <c r="AZ20" i="8"/>
  <c r="BA20" i="8"/>
  <c r="BB20" i="8"/>
  <c r="BC20" i="8"/>
  <c r="BD20" i="8"/>
  <c r="D21" i="8"/>
  <c r="E21" i="8"/>
  <c r="F21" i="8"/>
  <c r="G21" i="8"/>
  <c r="H21" i="8"/>
  <c r="I21" i="8"/>
  <c r="J21" i="8"/>
  <c r="K21" i="8"/>
  <c r="L21" i="8"/>
  <c r="M21" i="8"/>
  <c r="N21" i="8"/>
  <c r="O21" i="8"/>
  <c r="P21" i="8"/>
  <c r="Q21" i="8"/>
  <c r="R21" i="8"/>
  <c r="S21" i="8"/>
  <c r="T21" i="8"/>
  <c r="U21" i="8"/>
  <c r="V21" i="8"/>
  <c r="W21" i="8"/>
  <c r="X21" i="8"/>
  <c r="Y21" i="8"/>
  <c r="Z21" i="8"/>
  <c r="AA21" i="8"/>
  <c r="AG21" i="8"/>
  <c r="AH21" i="8"/>
  <c r="AI21" i="8"/>
  <c r="AJ21" i="8"/>
  <c r="AK21" i="8"/>
  <c r="AL21" i="8"/>
  <c r="AM21" i="8"/>
  <c r="AN21" i="8"/>
  <c r="AO21" i="8"/>
  <c r="AP21" i="8"/>
  <c r="AQ21" i="8"/>
  <c r="AR21" i="8"/>
  <c r="AS21" i="8"/>
  <c r="BE21" i="8" s="1"/>
  <c r="AT21" i="8"/>
  <c r="AU21" i="8"/>
  <c r="AV21" i="8"/>
  <c r="AW21" i="8"/>
  <c r="AX21" i="8"/>
  <c r="AY21" i="8"/>
  <c r="AZ21" i="8"/>
  <c r="BA21" i="8"/>
  <c r="BB21" i="8"/>
  <c r="BC21" i="8"/>
  <c r="BD21" i="8"/>
  <c r="D22" i="8"/>
  <c r="E22" i="8"/>
  <c r="F22" i="8"/>
  <c r="G22" i="8"/>
  <c r="H22" i="8"/>
  <c r="I22" i="8"/>
  <c r="J22" i="8"/>
  <c r="K22" i="8"/>
  <c r="L22" i="8"/>
  <c r="M22" i="8"/>
  <c r="N22" i="8"/>
  <c r="O22" i="8"/>
  <c r="P22" i="8"/>
  <c r="Q22" i="8"/>
  <c r="R22" i="8"/>
  <c r="S22" i="8"/>
  <c r="T22" i="8"/>
  <c r="U22" i="8"/>
  <c r="V22" i="8"/>
  <c r="W22" i="8"/>
  <c r="X22" i="8"/>
  <c r="Y22" i="8"/>
  <c r="Z22" i="8"/>
  <c r="AA22" i="8"/>
  <c r="AG22" i="8"/>
  <c r="AH22" i="8"/>
  <c r="AI22" i="8"/>
  <c r="AJ22" i="8"/>
  <c r="AK22" i="8"/>
  <c r="AL22" i="8"/>
  <c r="AM22" i="8"/>
  <c r="AN22" i="8"/>
  <c r="AO22" i="8"/>
  <c r="AP22" i="8"/>
  <c r="AQ22" i="8"/>
  <c r="AR22" i="8"/>
  <c r="AS22" i="8"/>
  <c r="AT22" i="8"/>
  <c r="AU22" i="8"/>
  <c r="AV22" i="8"/>
  <c r="AW22" i="8"/>
  <c r="AX22" i="8"/>
  <c r="AY22" i="8"/>
  <c r="AZ22" i="8"/>
  <c r="BA22" i="8"/>
  <c r="BB22" i="8"/>
  <c r="BC22" i="8"/>
  <c r="D23" i="8"/>
  <c r="E23" i="8"/>
  <c r="F23" i="8"/>
  <c r="G23" i="8"/>
  <c r="H23" i="8"/>
  <c r="I23" i="8"/>
  <c r="J23" i="8"/>
  <c r="K23" i="8"/>
  <c r="L23" i="8"/>
  <c r="M23" i="8"/>
  <c r="N23" i="8"/>
  <c r="O23" i="8"/>
  <c r="P23" i="8"/>
  <c r="Q23" i="8"/>
  <c r="R23" i="8"/>
  <c r="S23" i="8"/>
  <c r="T23" i="8"/>
  <c r="U23" i="8"/>
  <c r="V23" i="8"/>
  <c r="W23" i="8"/>
  <c r="X23" i="8"/>
  <c r="Y23" i="8"/>
  <c r="Z23" i="8"/>
  <c r="AG23" i="8"/>
  <c r="AH23" i="8"/>
  <c r="AI23" i="8"/>
  <c r="AJ23" i="8"/>
  <c r="AK23" i="8"/>
  <c r="AL23" i="8"/>
  <c r="AM23" i="8"/>
  <c r="AN23" i="8"/>
  <c r="AO23" i="8"/>
  <c r="AP23" i="8"/>
  <c r="AQ23" i="8"/>
  <c r="AR23" i="8"/>
  <c r="AS23" i="8"/>
  <c r="BE23" i="8" s="1"/>
  <c r="AT23" i="8"/>
  <c r="AU23" i="8"/>
  <c r="AV23" i="8"/>
  <c r="AW23" i="8"/>
  <c r="AX23" i="8"/>
  <c r="AY23" i="8"/>
  <c r="AZ23" i="8"/>
  <c r="BA23" i="8"/>
  <c r="BB23" i="8"/>
  <c r="BC23" i="8"/>
  <c r="BD23" i="8"/>
  <c r="D24" i="8"/>
  <c r="E24" i="8"/>
  <c r="F24" i="8"/>
  <c r="G24" i="8"/>
  <c r="H24" i="8"/>
  <c r="I24" i="8"/>
  <c r="J24" i="8"/>
  <c r="K24" i="8"/>
  <c r="L24" i="8"/>
  <c r="M24" i="8"/>
  <c r="N24" i="8"/>
  <c r="O24" i="8"/>
  <c r="P24" i="8"/>
  <c r="Q24" i="8"/>
  <c r="R24" i="8"/>
  <c r="S24" i="8"/>
  <c r="T24" i="8"/>
  <c r="U24" i="8"/>
  <c r="V24" i="8"/>
  <c r="W24" i="8"/>
  <c r="X24" i="8"/>
  <c r="Y24" i="8"/>
  <c r="Z24" i="8"/>
  <c r="AA24" i="8"/>
  <c r="AG24" i="8"/>
  <c r="AH24" i="8"/>
  <c r="AI24" i="8"/>
  <c r="AJ24" i="8"/>
  <c r="AK24" i="8"/>
  <c r="AL24" i="8"/>
  <c r="AM24" i="8"/>
  <c r="AN24" i="8"/>
  <c r="AO24" i="8"/>
  <c r="AP24" i="8"/>
  <c r="AQ24" i="8"/>
  <c r="AR24" i="8"/>
  <c r="AS24" i="8"/>
  <c r="BE24" i="8" s="1"/>
  <c r="AT24" i="8"/>
  <c r="AU24" i="8"/>
  <c r="AV24" i="8"/>
  <c r="AW24" i="8"/>
  <c r="AX24" i="8"/>
  <c r="AY24" i="8"/>
  <c r="AZ24" i="8"/>
  <c r="BA24" i="8"/>
  <c r="BB24" i="8"/>
  <c r="BC24" i="8"/>
  <c r="BD24" i="8"/>
  <c r="D25" i="8"/>
  <c r="E25" i="8"/>
  <c r="F25" i="8"/>
  <c r="G25" i="8"/>
  <c r="H25" i="8"/>
  <c r="I25" i="8"/>
  <c r="J25" i="8"/>
  <c r="K25" i="8"/>
  <c r="L25" i="8"/>
  <c r="M25" i="8"/>
  <c r="N25" i="8"/>
  <c r="O25" i="8"/>
  <c r="P25" i="8"/>
  <c r="Q25" i="8"/>
  <c r="R25" i="8"/>
  <c r="S25" i="8"/>
  <c r="T25" i="8"/>
  <c r="U25" i="8"/>
  <c r="V25" i="8"/>
  <c r="W25" i="8"/>
  <c r="X25" i="8"/>
  <c r="Y25" i="8"/>
  <c r="Z25" i="8"/>
  <c r="AA25" i="8"/>
  <c r="AG25" i="8"/>
  <c r="AH25" i="8"/>
  <c r="AI25" i="8"/>
  <c r="AJ25" i="8"/>
  <c r="AK25" i="8"/>
  <c r="AL25" i="8"/>
  <c r="AM25" i="8"/>
  <c r="AN25" i="8"/>
  <c r="AO25" i="8"/>
  <c r="AP25" i="8"/>
  <c r="AQ25" i="8"/>
  <c r="AR25" i="8"/>
  <c r="AS25" i="8"/>
  <c r="BE25" i="8" s="1"/>
  <c r="AT25" i="8"/>
  <c r="AU25" i="8"/>
  <c r="AV25" i="8"/>
  <c r="AW25" i="8"/>
  <c r="AX25" i="8"/>
  <c r="AY25" i="8"/>
  <c r="AZ25" i="8"/>
  <c r="BA25" i="8"/>
  <c r="BB25" i="8"/>
  <c r="BC25" i="8"/>
  <c r="BD25" i="8"/>
  <c r="D26" i="8"/>
  <c r="E26" i="8"/>
  <c r="F26" i="8"/>
  <c r="G26" i="8"/>
  <c r="H26" i="8"/>
  <c r="I26" i="8"/>
  <c r="J26" i="8"/>
  <c r="K26" i="8"/>
  <c r="L26" i="8"/>
  <c r="M26" i="8"/>
  <c r="N26" i="8"/>
  <c r="O26" i="8"/>
  <c r="P26" i="8"/>
  <c r="Q26" i="8"/>
  <c r="R26" i="8"/>
  <c r="S26" i="8"/>
  <c r="T26" i="8"/>
  <c r="U26" i="8"/>
  <c r="V26" i="8"/>
  <c r="W26" i="8"/>
  <c r="X26" i="8"/>
  <c r="Y26" i="8"/>
  <c r="Z26" i="8"/>
  <c r="AA26" i="8"/>
  <c r="AG26" i="8"/>
  <c r="AH26" i="8"/>
  <c r="AI26" i="8"/>
  <c r="AJ26" i="8"/>
  <c r="AK26" i="8"/>
  <c r="AL26" i="8"/>
  <c r="AM26" i="8"/>
  <c r="AN26" i="8"/>
  <c r="AO26" i="8"/>
  <c r="AP26" i="8"/>
  <c r="AQ26" i="8"/>
  <c r="AR26" i="8"/>
  <c r="AS26" i="8"/>
  <c r="BE26" i="8" s="1"/>
  <c r="AT26" i="8"/>
  <c r="AU26" i="8"/>
  <c r="AV26" i="8"/>
  <c r="AW26" i="8"/>
  <c r="AX26" i="8"/>
  <c r="AY26" i="8"/>
  <c r="AZ26" i="8"/>
  <c r="BA26" i="8"/>
  <c r="BB26" i="8"/>
  <c r="BC26" i="8"/>
  <c r="BD26" i="8"/>
  <c r="D27" i="8"/>
  <c r="E27" i="8"/>
  <c r="F27" i="8"/>
  <c r="G27" i="8"/>
  <c r="H27" i="8"/>
  <c r="I27" i="8"/>
  <c r="J27" i="8"/>
  <c r="K27" i="8"/>
  <c r="L27" i="8"/>
  <c r="M27" i="8"/>
  <c r="N27" i="8"/>
  <c r="O27" i="8"/>
  <c r="P27" i="8"/>
  <c r="Q27" i="8"/>
  <c r="R27" i="8"/>
  <c r="S27" i="8"/>
  <c r="T27" i="8"/>
  <c r="U27" i="8"/>
  <c r="V27" i="8"/>
  <c r="W27" i="8"/>
  <c r="X27" i="8"/>
  <c r="Y27" i="8"/>
  <c r="Z27" i="8"/>
  <c r="AA27" i="8"/>
  <c r="AG27" i="8"/>
  <c r="AH27" i="8"/>
  <c r="AI27" i="8"/>
  <c r="AJ27" i="8"/>
  <c r="AK27" i="8"/>
  <c r="AL27" i="8"/>
  <c r="AM27" i="8"/>
  <c r="AN27" i="8"/>
  <c r="AO27" i="8"/>
  <c r="AP27" i="8"/>
  <c r="AQ27" i="8"/>
  <c r="AR27" i="8"/>
  <c r="AS27" i="8"/>
  <c r="BE27" i="8" s="1"/>
  <c r="AT27" i="8"/>
  <c r="AU27" i="8"/>
  <c r="AV27" i="8"/>
  <c r="AW27" i="8"/>
  <c r="AX27" i="8"/>
  <c r="AY27" i="8"/>
  <c r="AZ27" i="8"/>
  <c r="BA27" i="8"/>
  <c r="BB27" i="8"/>
  <c r="BC27" i="8"/>
  <c r="BD27" i="8"/>
  <c r="D28" i="8"/>
  <c r="E28" i="8"/>
  <c r="F28" i="8"/>
  <c r="G28" i="8"/>
  <c r="H28" i="8"/>
  <c r="I28" i="8"/>
  <c r="J28" i="8"/>
  <c r="K28" i="8"/>
  <c r="L28" i="8"/>
  <c r="M28" i="8"/>
  <c r="N28" i="8"/>
  <c r="O28" i="8"/>
  <c r="P28" i="8"/>
  <c r="Q28" i="8"/>
  <c r="R28" i="8"/>
  <c r="S28" i="8"/>
  <c r="T28" i="8"/>
  <c r="U28" i="8"/>
  <c r="V28" i="8"/>
  <c r="W28" i="8"/>
  <c r="X28" i="8"/>
  <c r="Y28" i="8"/>
  <c r="Z28" i="8"/>
  <c r="AA28" i="8"/>
  <c r="AG28" i="8"/>
  <c r="AH28" i="8"/>
  <c r="AI28" i="8"/>
  <c r="AJ28" i="8"/>
  <c r="AK28" i="8"/>
  <c r="AL28" i="8"/>
  <c r="AM28" i="8"/>
  <c r="AN28" i="8"/>
  <c r="AO28" i="8"/>
  <c r="AP28" i="8"/>
  <c r="AQ28" i="8"/>
  <c r="AR28" i="8"/>
  <c r="AS28" i="8"/>
  <c r="BE28" i="8" s="1"/>
  <c r="AT28" i="8"/>
  <c r="AU28" i="8"/>
  <c r="AV28" i="8"/>
  <c r="AW28" i="8"/>
  <c r="AX28" i="8"/>
  <c r="AY28" i="8"/>
  <c r="AZ28" i="8"/>
  <c r="BA28" i="8"/>
  <c r="BB28" i="8"/>
  <c r="BC28" i="8"/>
  <c r="BD28" i="8"/>
  <c r="D29" i="8"/>
  <c r="E29" i="8"/>
  <c r="F29" i="8"/>
  <c r="G29" i="8"/>
  <c r="H29" i="8"/>
  <c r="I29" i="8"/>
  <c r="J29" i="8"/>
  <c r="K29" i="8"/>
  <c r="L29" i="8"/>
  <c r="M29" i="8"/>
  <c r="N29" i="8"/>
  <c r="O29" i="8"/>
  <c r="P29" i="8"/>
  <c r="Q29" i="8"/>
  <c r="R29" i="8"/>
  <c r="S29" i="8"/>
  <c r="T29" i="8"/>
  <c r="U29" i="8"/>
  <c r="V29" i="8"/>
  <c r="W29" i="8"/>
  <c r="X29" i="8"/>
  <c r="Y29" i="8"/>
  <c r="Z29" i="8"/>
  <c r="AA29" i="8"/>
  <c r="AG29" i="8"/>
  <c r="AH29" i="8"/>
  <c r="AI29" i="8"/>
  <c r="AJ29" i="8"/>
  <c r="AK29" i="8"/>
  <c r="AL29" i="8"/>
  <c r="AM29" i="8"/>
  <c r="AN29" i="8"/>
  <c r="AO29" i="8"/>
  <c r="AP29" i="8"/>
  <c r="AQ29" i="8"/>
  <c r="AR29" i="8"/>
  <c r="AS29" i="8"/>
  <c r="AT29" i="8"/>
  <c r="AU29" i="8"/>
  <c r="AV29" i="8"/>
  <c r="AW29" i="8"/>
  <c r="AX29" i="8"/>
  <c r="AY29" i="8"/>
  <c r="AZ29" i="8"/>
  <c r="BA29" i="8"/>
  <c r="BB29" i="8"/>
  <c r="BC29" i="8"/>
  <c r="D30" i="8"/>
  <c r="E30" i="8"/>
  <c r="F30" i="8"/>
  <c r="G30" i="8"/>
  <c r="H30" i="8"/>
  <c r="I30" i="8"/>
  <c r="J30" i="8"/>
  <c r="K30" i="8"/>
  <c r="L30" i="8"/>
  <c r="M30" i="8"/>
  <c r="N30" i="8"/>
  <c r="O30" i="8"/>
  <c r="P30" i="8"/>
  <c r="Q30" i="8"/>
  <c r="R30" i="8"/>
  <c r="S30" i="8"/>
  <c r="T30" i="8"/>
  <c r="U30" i="8"/>
  <c r="V30" i="8"/>
  <c r="W30" i="8"/>
  <c r="X30" i="8"/>
  <c r="Y30" i="8"/>
  <c r="Z30" i="8"/>
  <c r="AG30" i="8"/>
  <c r="AH30" i="8"/>
  <c r="AI30" i="8"/>
  <c r="AJ30" i="8"/>
  <c r="AK30" i="8"/>
  <c r="AL30" i="8"/>
  <c r="AM30" i="8"/>
  <c r="AN30" i="8"/>
  <c r="AO30" i="8"/>
  <c r="AP30" i="8"/>
  <c r="AQ30" i="8"/>
  <c r="AR30" i="8"/>
  <c r="AS30" i="8"/>
  <c r="AT30" i="8"/>
  <c r="AU30" i="8"/>
  <c r="AV30" i="8"/>
  <c r="AW30" i="8"/>
  <c r="AX30" i="8"/>
  <c r="AY30" i="8"/>
  <c r="AZ30" i="8"/>
  <c r="BA30" i="8"/>
  <c r="BB30" i="8"/>
  <c r="BC30" i="8"/>
  <c r="D31" i="8"/>
  <c r="E31" i="8"/>
  <c r="F31" i="8"/>
  <c r="G31" i="8"/>
  <c r="H31" i="8"/>
  <c r="I31" i="8"/>
  <c r="J31" i="8"/>
  <c r="K31" i="8"/>
  <c r="L31" i="8"/>
  <c r="M31" i="8"/>
  <c r="N31" i="8"/>
  <c r="O31" i="8"/>
  <c r="P31" i="8"/>
  <c r="Q31" i="8"/>
  <c r="R31" i="8"/>
  <c r="S31" i="8"/>
  <c r="T31" i="8"/>
  <c r="U31" i="8"/>
  <c r="V31" i="8"/>
  <c r="W31" i="8"/>
  <c r="X31" i="8"/>
  <c r="Y31" i="8"/>
  <c r="Z31" i="8"/>
  <c r="AG31" i="8"/>
  <c r="AH31" i="8"/>
  <c r="AI31" i="8"/>
  <c r="AJ31" i="8"/>
  <c r="AK31" i="8"/>
  <c r="AL31" i="8"/>
  <c r="AM31" i="8"/>
  <c r="AN31" i="8"/>
  <c r="AO31" i="8"/>
  <c r="AP31" i="8"/>
  <c r="AQ31" i="8"/>
  <c r="AR31" i="8"/>
  <c r="AS31" i="8"/>
  <c r="AT31" i="8"/>
  <c r="AU31" i="8"/>
  <c r="AV31" i="8"/>
  <c r="AW31" i="8"/>
  <c r="AX31" i="8"/>
  <c r="AY31" i="8"/>
  <c r="AZ31" i="8"/>
  <c r="BA31" i="8"/>
  <c r="BB31" i="8"/>
  <c r="BC31" i="8"/>
  <c r="D32" i="8"/>
  <c r="E32" i="8"/>
  <c r="F32" i="8"/>
  <c r="G32" i="8"/>
  <c r="H32" i="8"/>
  <c r="I32" i="8"/>
  <c r="J32" i="8"/>
  <c r="K32" i="8"/>
  <c r="L32" i="8"/>
  <c r="M32" i="8"/>
  <c r="N32" i="8"/>
  <c r="O32" i="8"/>
  <c r="P32" i="8"/>
  <c r="Q32" i="8"/>
  <c r="R32" i="8"/>
  <c r="S32" i="8"/>
  <c r="T32" i="8"/>
  <c r="U32" i="8"/>
  <c r="V32" i="8"/>
  <c r="W32" i="8"/>
  <c r="X32" i="8"/>
  <c r="Y32" i="8"/>
  <c r="Z32" i="8"/>
  <c r="AG32" i="8"/>
  <c r="AH32" i="8"/>
  <c r="AI32" i="8"/>
  <c r="AJ32" i="8"/>
  <c r="AK32" i="8"/>
  <c r="AL32" i="8"/>
  <c r="AM32" i="8"/>
  <c r="AN32" i="8"/>
  <c r="AO32" i="8"/>
  <c r="AP32" i="8"/>
  <c r="AQ32" i="8"/>
  <c r="AR32" i="8"/>
  <c r="AS32" i="8"/>
  <c r="BE32" i="8" s="1"/>
  <c r="AT32" i="8"/>
  <c r="AU32" i="8"/>
  <c r="AV32" i="8"/>
  <c r="AW32" i="8"/>
  <c r="AX32" i="8"/>
  <c r="AY32" i="8"/>
  <c r="AZ32" i="8"/>
  <c r="BA32" i="8"/>
  <c r="BB32" i="8"/>
  <c r="BC32" i="8"/>
  <c r="BD32" i="8"/>
  <c r="D33" i="8"/>
  <c r="E33" i="8"/>
  <c r="F33" i="8"/>
  <c r="G33" i="8"/>
  <c r="H33" i="8"/>
  <c r="I33" i="8"/>
  <c r="J33" i="8"/>
  <c r="K33" i="8"/>
  <c r="L33" i="8"/>
  <c r="M33" i="8"/>
  <c r="N33" i="8"/>
  <c r="O33" i="8"/>
  <c r="P33" i="8"/>
  <c r="Q33" i="8"/>
  <c r="R33" i="8"/>
  <c r="S33" i="8"/>
  <c r="T33" i="8"/>
  <c r="U33" i="8"/>
  <c r="V33" i="8"/>
  <c r="W33" i="8"/>
  <c r="X33" i="8"/>
  <c r="Y33" i="8"/>
  <c r="Z33" i="8"/>
  <c r="AA33" i="8"/>
  <c r="AG33" i="8"/>
  <c r="AH33" i="8"/>
  <c r="AI33" i="8"/>
  <c r="AJ33" i="8"/>
  <c r="AK33" i="8"/>
  <c r="AL33" i="8"/>
  <c r="AM33" i="8"/>
  <c r="AN33" i="8"/>
  <c r="AO33" i="8"/>
  <c r="AP33" i="8"/>
  <c r="AQ33" i="8"/>
  <c r="AR33" i="8"/>
  <c r="AS33" i="8"/>
  <c r="BE33" i="8" s="1"/>
  <c r="AT33" i="8"/>
  <c r="AU33" i="8"/>
  <c r="AV33" i="8"/>
  <c r="AW33" i="8"/>
  <c r="AX33" i="8"/>
  <c r="AY33" i="8"/>
  <c r="AZ33" i="8"/>
  <c r="BA33" i="8"/>
  <c r="BB33" i="8"/>
  <c r="BC33" i="8"/>
  <c r="BD33" i="8"/>
  <c r="D34" i="8"/>
  <c r="E34" i="8"/>
  <c r="F34" i="8"/>
  <c r="G34" i="8"/>
  <c r="H34" i="8"/>
  <c r="I34" i="8"/>
  <c r="J34" i="8"/>
  <c r="K34" i="8"/>
  <c r="L34" i="8"/>
  <c r="M34" i="8"/>
  <c r="N34" i="8"/>
  <c r="O34" i="8"/>
  <c r="P34" i="8"/>
  <c r="Q34" i="8"/>
  <c r="R34" i="8"/>
  <c r="S34" i="8"/>
  <c r="T34" i="8"/>
  <c r="U34" i="8"/>
  <c r="V34" i="8"/>
  <c r="W34" i="8"/>
  <c r="X34" i="8"/>
  <c r="Y34" i="8"/>
  <c r="Z34" i="8"/>
  <c r="AA34" i="8"/>
  <c r="AG34" i="8"/>
  <c r="AH34" i="8"/>
  <c r="AI34" i="8"/>
  <c r="AJ34" i="8"/>
  <c r="AK34" i="8"/>
  <c r="AL34" i="8"/>
  <c r="AM34" i="8"/>
  <c r="AN34" i="8"/>
  <c r="AO34" i="8"/>
  <c r="AP34" i="8"/>
  <c r="AQ34" i="8"/>
  <c r="AR34" i="8"/>
  <c r="AS34" i="8"/>
  <c r="BE34" i="8" s="1"/>
  <c r="AT34" i="8"/>
  <c r="AU34" i="8"/>
  <c r="AV34" i="8"/>
  <c r="AW34" i="8"/>
  <c r="AX34" i="8"/>
  <c r="AY34" i="8"/>
  <c r="AZ34" i="8"/>
  <c r="BA34" i="8"/>
  <c r="BB34" i="8"/>
  <c r="BC34" i="8"/>
  <c r="BD34" i="8"/>
  <c r="D35" i="8"/>
  <c r="E35" i="8"/>
  <c r="F35" i="8"/>
  <c r="G35" i="8"/>
  <c r="H35" i="8"/>
  <c r="I35" i="8"/>
  <c r="J35" i="8"/>
  <c r="K35" i="8"/>
  <c r="L35" i="8"/>
  <c r="M35" i="8"/>
  <c r="N35" i="8"/>
  <c r="O35" i="8"/>
  <c r="P35" i="8"/>
  <c r="Q35" i="8"/>
  <c r="R35" i="8"/>
  <c r="S35" i="8"/>
  <c r="T35" i="8"/>
  <c r="U35" i="8"/>
  <c r="V35" i="8"/>
  <c r="W35" i="8"/>
  <c r="X35" i="8"/>
  <c r="Y35" i="8"/>
  <c r="Z35" i="8"/>
  <c r="AA35" i="8"/>
  <c r="AG35" i="8"/>
  <c r="AH35" i="8"/>
  <c r="AI35" i="8"/>
  <c r="AJ35" i="8"/>
  <c r="AK35" i="8"/>
  <c r="AL35" i="8"/>
  <c r="AM35" i="8"/>
  <c r="AN35" i="8"/>
  <c r="AO35" i="8"/>
  <c r="AP35" i="8"/>
  <c r="AQ35" i="8"/>
  <c r="AR35" i="8"/>
  <c r="AS35" i="8"/>
  <c r="BE35" i="8" s="1"/>
  <c r="AT35" i="8"/>
  <c r="AU35" i="8"/>
  <c r="AV35" i="8"/>
  <c r="AW35" i="8"/>
  <c r="AX35" i="8"/>
  <c r="AY35" i="8"/>
  <c r="AZ35" i="8"/>
  <c r="BA35" i="8"/>
  <c r="BB35" i="8"/>
  <c r="BC35" i="8"/>
  <c r="BD35" i="8"/>
  <c r="D36" i="8"/>
  <c r="E36" i="8"/>
  <c r="F36" i="8"/>
  <c r="G36" i="8"/>
  <c r="H36" i="8"/>
  <c r="I36" i="8"/>
  <c r="J36" i="8"/>
  <c r="K36" i="8"/>
  <c r="L36" i="8"/>
  <c r="M36" i="8"/>
  <c r="N36" i="8"/>
  <c r="O36" i="8"/>
  <c r="P36" i="8"/>
  <c r="Q36" i="8"/>
  <c r="R36" i="8"/>
  <c r="S36" i="8"/>
  <c r="T36" i="8"/>
  <c r="U36" i="8"/>
  <c r="V36" i="8"/>
  <c r="W36" i="8"/>
  <c r="X36" i="8"/>
  <c r="Y36" i="8"/>
  <c r="Z36" i="8"/>
  <c r="AA36" i="8"/>
  <c r="AG36" i="8"/>
  <c r="AH36" i="8"/>
  <c r="AI36" i="8"/>
  <c r="AJ36" i="8"/>
  <c r="AK36" i="8"/>
  <c r="AL36" i="8"/>
  <c r="AM36" i="8"/>
  <c r="AN36" i="8"/>
  <c r="AO36" i="8"/>
  <c r="AP36" i="8"/>
  <c r="AQ36" i="8"/>
  <c r="AR36" i="8"/>
  <c r="AS36" i="8"/>
  <c r="BE36" i="8" s="1"/>
  <c r="AT36" i="8"/>
  <c r="AU36" i="8"/>
  <c r="AV36" i="8"/>
  <c r="AW36" i="8"/>
  <c r="AX36" i="8"/>
  <c r="AY36" i="8"/>
  <c r="AZ36" i="8"/>
  <c r="BA36" i="8"/>
  <c r="BB36" i="8"/>
  <c r="BC36" i="8"/>
  <c r="BD36" i="8"/>
  <c r="D37" i="8"/>
  <c r="E37" i="8"/>
  <c r="F37" i="8"/>
  <c r="G37" i="8"/>
  <c r="H37" i="8"/>
  <c r="I37" i="8"/>
  <c r="J37" i="8"/>
  <c r="K37" i="8"/>
  <c r="L37" i="8"/>
  <c r="M37" i="8"/>
  <c r="N37" i="8"/>
  <c r="O37" i="8"/>
  <c r="P37" i="8"/>
  <c r="Q37" i="8"/>
  <c r="R37" i="8"/>
  <c r="S37" i="8"/>
  <c r="T37" i="8"/>
  <c r="U37" i="8"/>
  <c r="V37" i="8"/>
  <c r="W37" i="8"/>
  <c r="X37" i="8"/>
  <c r="Y37" i="8"/>
  <c r="Z37" i="8"/>
  <c r="AG37" i="8"/>
  <c r="AH37" i="8"/>
  <c r="AI37" i="8"/>
  <c r="AJ37" i="8"/>
  <c r="AK37" i="8"/>
  <c r="AL37" i="8"/>
  <c r="AM37" i="8"/>
  <c r="AN37" i="8"/>
  <c r="AO37" i="8"/>
  <c r="AP37" i="8"/>
  <c r="AQ37" i="8"/>
  <c r="AR37" i="8"/>
  <c r="AS37" i="8"/>
  <c r="AT37" i="8"/>
  <c r="AU37" i="8"/>
  <c r="AV37" i="8"/>
  <c r="AW37" i="8"/>
  <c r="AX37" i="8"/>
  <c r="AY37" i="8"/>
  <c r="AZ37" i="8"/>
  <c r="BA37" i="8"/>
  <c r="BB37" i="8"/>
  <c r="BC37" i="8"/>
  <c r="D38" i="8"/>
  <c r="E38" i="8"/>
  <c r="F38" i="8"/>
  <c r="G38" i="8"/>
  <c r="H38" i="8"/>
  <c r="I38" i="8"/>
  <c r="J38" i="8"/>
  <c r="K38" i="8"/>
  <c r="L38" i="8"/>
  <c r="M38" i="8"/>
  <c r="N38" i="8"/>
  <c r="O38" i="8"/>
  <c r="P38" i="8"/>
  <c r="Q38" i="8"/>
  <c r="R38" i="8"/>
  <c r="S38" i="8"/>
  <c r="T38" i="8"/>
  <c r="U38" i="8"/>
  <c r="V38" i="8"/>
  <c r="W38" i="8"/>
  <c r="X38" i="8"/>
  <c r="Y38" i="8"/>
  <c r="Z38" i="8"/>
  <c r="AG38" i="8"/>
  <c r="AH38" i="8"/>
  <c r="AI38" i="8"/>
  <c r="AJ38" i="8"/>
  <c r="AK38" i="8"/>
  <c r="AL38" i="8"/>
  <c r="AM38" i="8"/>
  <c r="AN38" i="8"/>
  <c r="AO38" i="8"/>
  <c r="AP38" i="8"/>
  <c r="AQ38" i="8"/>
  <c r="AR38" i="8"/>
  <c r="AS38" i="8"/>
  <c r="AT38" i="8"/>
  <c r="AU38" i="8"/>
  <c r="AV38" i="8"/>
  <c r="AW38" i="8"/>
  <c r="AX38" i="8"/>
  <c r="AY38" i="8"/>
  <c r="AZ38" i="8"/>
  <c r="BA38" i="8"/>
  <c r="BB38" i="8"/>
  <c r="BC38" i="8"/>
  <c r="D39" i="8"/>
  <c r="E39" i="8"/>
  <c r="F39" i="8"/>
  <c r="G39" i="8"/>
  <c r="H39" i="8"/>
  <c r="I39" i="8"/>
  <c r="J39" i="8"/>
  <c r="K39" i="8"/>
  <c r="L39" i="8"/>
  <c r="M39" i="8"/>
  <c r="N39" i="8"/>
  <c r="O39" i="8"/>
  <c r="P39" i="8"/>
  <c r="Q39" i="8"/>
  <c r="R39" i="8"/>
  <c r="S39" i="8"/>
  <c r="T39" i="8"/>
  <c r="U39" i="8"/>
  <c r="V39" i="8"/>
  <c r="W39" i="8"/>
  <c r="X39" i="8"/>
  <c r="Y39" i="8"/>
  <c r="Z39" i="8"/>
  <c r="AG39" i="8"/>
  <c r="AH39" i="8"/>
  <c r="AI39" i="8"/>
  <c r="AJ39" i="8"/>
  <c r="AK39" i="8"/>
  <c r="AL39" i="8"/>
  <c r="AM39" i="8"/>
  <c r="AN39" i="8"/>
  <c r="AO39" i="8"/>
  <c r="AP39" i="8"/>
  <c r="AQ39" i="8"/>
  <c r="AR39" i="8"/>
  <c r="AS39" i="8"/>
  <c r="AT39" i="8"/>
  <c r="AU39" i="8"/>
  <c r="AV39" i="8"/>
  <c r="AW39" i="8"/>
  <c r="AX39" i="8"/>
  <c r="AY39" i="8"/>
  <c r="AZ39" i="8"/>
  <c r="BA39" i="8"/>
  <c r="BB39" i="8"/>
  <c r="BC39" i="8"/>
  <c r="D40" i="8"/>
  <c r="E40" i="8"/>
  <c r="F40" i="8"/>
  <c r="G40" i="8"/>
  <c r="H40" i="8"/>
  <c r="I40" i="8"/>
  <c r="J40" i="8"/>
  <c r="K40" i="8"/>
  <c r="L40" i="8"/>
  <c r="M40" i="8"/>
  <c r="N40" i="8"/>
  <c r="O40" i="8"/>
  <c r="P40" i="8"/>
  <c r="Q40" i="8"/>
  <c r="R40" i="8"/>
  <c r="S40" i="8"/>
  <c r="T40" i="8"/>
  <c r="U40" i="8"/>
  <c r="V40" i="8"/>
  <c r="W40" i="8"/>
  <c r="X40" i="8"/>
  <c r="Y40" i="8"/>
  <c r="Z40" i="8"/>
  <c r="AG40" i="8"/>
  <c r="AH40" i="8"/>
  <c r="AI40" i="8"/>
  <c r="AJ40" i="8"/>
  <c r="AK40" i="8"/>
  <c r="AL40" i="8"/>
  <c r="AM40" i="8"/>
  <c r="AN40" i="8"/>
  <c r="AO40" i="8"/>
  <c r="AP40" i="8"/>
  <c r="AQ40" i="8"/>
  <c r="AR40" i="8"/>
  <c r="AS40" i="8"/>
  <c r="AT40" i="8"/>
  <c r="AU40" i="8"/>
  <c r="AV40" i="8"/>
  <c r="AW40" i="8"/>
  <c r="AX40" i="8"/>
  <c r="AY40" i="8"/>
  <c r="AZ40" i="8"/>
  <c r="BA40" i="8"/>
  <c r="BB40" i="8"/>
  <c r="BC40" i="8"/>
  <c r="D41" i="8"/>
  <c r="E41" i="8"/>
  <c r="F41" i="8"/>
  <c r="G41" i="8"/>
  <c r="H41" i="8"/>
  <c r="I41" i="8"/>
  <c r="J41" i="8"/>
  <c r="K41" i="8"/>
  <c r="L41" i="8"/>
  <c r="M41" i="8"/>
  <c r="N41" i="8"/>
  <c r="O41" i="8"/>
  <c r="P41" i="8"/>
  <c r="Q41" i="8"/>
  <c r="R41" i="8"/>
  <c r="S41" i="8"/>
  <c r="T41" i="8"/>
  <c r="U41" i="8"/>
  <c r="V41" i="8"/>
  <c r="W41" i="8"/>
  <c r="X41" i="8"/>
  <c r="Y41" i="8"/>
  <c r="Z41" i="8"/>
  <c r="AG41" i="8"/>
  <c r="AH41" i="8"/>
  <c r="AI41" i="8"/>
  <c r="AJ41" i="8"/>
  <c r="AK41" i="8"/>
  <c r="AL41" i="8"/>
  <c r="AM41" i="8"/>
  <c r="AN41" i="8"/>
  <c r="AO41" i="8"/>
  <c r="AP41" i="8"/>
  <c r="AQ41" i="8"/>
  <c r="AR41" i="8"/>
  <c r="AS41" i="8"/>
  <c r="BE41" i="8" s="1"/>
  <c r="AT41" i="8"/>
  <c r="AU41" i="8"/>
  <c r="AV41" i="8"/>
  <c r="AW41" i="8"/>
  <c r="AX41" i="8"/>
  <c r="AY41" i="8"/>
  <c r="AZ41" i="8"/>
  <c r="BA41" i="8"/>
  <c r="BB41" i="8"/>
  <c r="BC41" i="8"/>
  <c r="BD41" i="8"/>
  <c r="D42" i="8"/>
  <c r="E42" i="8"/>
  <c r="F42" i="8"/>
  <c r="G42" i="8"/>
  <c r="H42" i="8"/>
  <c r="I42" i="8"/>
  <c r="J42" i="8"/>
  <c r="K42" i="8"/>
  <c r="L42" i="8"/>
  <c r="M42" i="8"/>
  <c r="N42" i="8"/>
  <c r="O42" i="8"/>
  <c r="P42" i="8"/>
  <c r="Q42" i="8"/>
  <c r="R42" i="8"/>
  <c r="S42" i="8"/>
  <c r="T42" i="8"/>
  <c r="U42" i="8"/>
  <c r="V42" i="8"/>
  <c r="W42" i="8"/>
  <c r="X42" i="8"/>
  <c r="Y42" i="8"/>
  <c r="Z42" i="8"/>
  <c r="AA42" i="8"/>
  <c r="AG42" i="8"/>
  <c r="AH42" i="8"/>
  <c r="AI42" i="8"/>
  <c r="AJ42" i="8"/>
  <c r="AK42" i="8"/>
  <c r="AL42" i="8"/>
  <c r="AM42" i="8"/>
  <c r="AN42" i="8"/>
  <c r="AO42" i="8"/>
  <c r="AP42" i="8"/>
  <c r="AQ42" i="8"/>
  <c r="AR42" i="8"/>
  <c r="AS42" i="8"/>
  <c r="BE42" i="8" s="1"/>
  <c r="AT42" i="8"/>
  <c r="AU42" i="8"/>
  <c r="AV42" i="8"/>
  <c r="AW42" i="8"/>
  <c r="AX42" i="8"/>
  <c r="AY42" i="8"/>
  <c r="AZ42" i="8"/>
  <c r="BA42" i="8"/>
  <c r="BB42" i="8"/>
  <c r="BC42" i="8"/>
  <c r="BD42" i="8"/>
  <c r="D43" i="8"/>
  <c r="E43" i="8"/>
  <c r="F43" i="8"/>
  <c r="G43" i="8"/>
  <c r="H43" i="8"/>
  <c r="I43" i="8"/>
  <c r="J43" i="8"/>
  <c r="K43" i="8"/>
  <c r="L43" i="8"/>
  <c r="M43" i="8"/>
  <c r="N43" i="8"/>
  <c r="O43" i="8"/>
  <c r="P43" i="8"/>
  <c r="Q43" i="8"/>
  <c r="R43" i="8"/>
  <c r="S43" i="8"/>
  <c r="T43" i="8"/>
  <c r="U43" i="8"/>
  <c r="V43" i="8"/>
  <c r="W43" i="8"/>
  <c r="X43" i="8"/>
  <c r="Y43" i="8"/>
  <c r="Z43" i="8"/>
  <c r="AA43" i="8"/>
  <c r="AG43" i="8"/>
  <c r="AH43" i="8"/>
  <c r="AI43" i="8"/>
  <c r="AJ43" i="8"/>
  <c r="AK43" i="8"/>
  <c r="AL43" i="8"/>
  <c r="AM43" i="8"/>
  <c r="AN43" i="8"/>
  <c r="AO43" i="8"/>
  <c r="AP43" i="8"/>
  <c r="AQ43" i="8"/>
  <c r="AR43" i="8"/>
  <c r="AS43" i="8"/>
  <c r="BE43" i="8" s="1"/>
  <c r="AT43" i="8"/>
  <c r="AU43" i="8"/>
  <c r="AV43" i="8"/>
  <c r="AW43" i="8"/>
  <c r="AX43" i="8"/>
  <c r="AY43" i="8"/>
  <c r="AZ43" i="8"/>
  <c r="BA43" i="8"/>
  <c r="BB43" i="8"/>
  <c r="BC43" i="8"/>
  <c r="BD43" i="8"/>
  <c r="D44" i="8"/>
  <c r="E44" i="8"/>
  <c r="F44" i="8"/>
  <c r="G44" i="8"/>
  <c r="H44" i="8"/>
  <c r="I44" i="8"/>
  <c r="J44" i="8"/>
  <c r="K44" i="8"/>
  <c r="L44" i="8"/>
  <c r="M44" i="8"/>
  <c r="N44" i="8"/>
  <c r="O44" i="8"/>
  <c r="P44" i="8"/>
  <c r="Q44" i="8"/>
  <c r="R44" i="8"/>
  <c r="S44" i="8"/>
  <c r="T44" i="8"/>
  <c r="U44" i="8"/>
  <c r="V44" i="8"/>
  <c r="W44" i="8"/>
  <c r="X44" i="8"/>
  <c r="Y44" i="8"/>
  <c r="Z44" i="8"/>
  <c r="AA44" i="8"/>
  <c r="AG44" i="8"/>
  <c r="AH44" i="8"/>
  <c r="AI44" i="8"/>
  <c r="AJ44" i="8"/>
  <c r="AK44" i="8"/>
  <c r="AL44" i="8"/>
  <c r="AM44" i="8"/>
  <c r="AN44" i="8"/>
  <c r="AO44" i="8"/>
  <c r="AP44" i="8"/>
  <c r="AQ44" i="8"/>
  <c r="AR44" i="8"/>
  <c r="AS44" i="8"/>
  <c r="AT44" i="8"/>
  <c r="AU44" i="8"/>
  <c r="AV44" i="8"/>
  <c r="AW44" i="8"/>
  <c r="AX44" i="8"/>
  <c r="AY44" i="8"/>
  <c r="AZ44" i="8"/>
  <c r="BA44" i="8"/>
  <c r="BB44" i="8"/>
  <c r="BC44" i="8"/>
  <c r="D45" i="8"/>
  <c r="E45" i="8"/>
  <c r="F45" i="8"/>
  <c r="G45" i="8"/>
  <c r="H45" i="8"/>
  <c r="I45" i="8"/>
  <c r="J45" i="8"/>
  <c r="K45" i="8"/>
  <c r="L45" i="8"/>
  <c r="M45" i="8"/>
  <c r="N45" i="8"/>
  <c r="O45" i="8"/>
  <c r="P45" i="8"/>
  <c r="Q45" i="8"/>
  <c r="R45" i="8"/>
  <c r="S45" i="8"/>
  <c r="T45" i="8"/>
  <c r="U45" i="8"/>
  <c r="V45" i="8"/>
  <c r="W45" i="8"/>
  <c r="X45" i="8"/>
  <c r="Y45" i="8"/>
  <c r="Z45" i="8"/>
  <c r="AG45" i="8"/>
  <c r="AH45" i="8"/>
  <c r="AI45" i="8"/>
  <c r="AJ45" i="8"/>
  <c r="AK45" i="8"/>
  <c r="AL45" i="8"/>
  <c r="AM45" i="8"/>
  <c r="AN45" i="8"/>
  <c r="AO45" i="8"/>
  <c r="AP45" i="8"/>
  <c r="AQ45" i="8"/>
  <c r="AR45" i="8"/>
  <c r="AS45" i="8"/>
  <c r="AT45" i="8"/>
  <c r="AU45" i="8"/>
  <c r="AV45" i="8"/>
  <c r="AW45" i="8"/>
  <c r="AX45" i="8"/>
  <c r="AY45" i="8"/>
  <c r="AZ45" i="8"/>
  <c r="BA45" i="8"/>
  <c r="BB45" i="8"/>
  <c r="BC45" i="8"/>
  <c r="D46" i="8"/>
  <c r="E46" i="8"/>
  <c r="F46" i="8"/>
  <c r="G46" i="8"/>
  <c r="H46" i="8"/>
  <c r="I46" i="8"/>
  <c r="J46" i="8"/>
  <c r="K46" i="8"/>
  <c r="L46" i="8"/>
  <c r="M46" i="8"/>
  <c r="N46" i="8"/>
  <c r="O46" i="8"/>
  <c r="P46" i="8"/>
  <c r="Q46" i="8"/>
  <c r="R46" i="8"/>
  <c r="S46" i="8"/>
  <c r="T46" i="8"/>
  <c r="U46" i="8"/>
  <c r="V46" i="8"/>
  <c r="W46" i="8"/>
  <c r="X46" i="8"/>
  <c r="Y46" i="8"/>
  <c r="Z46" i="8"/>
  <c r="AA46" i="8"/>
  <c r="AG46" i="8"/>
  <c r="AH46" i="8"/>
  <c r="AI46" i="8"/>
  <c r="AJ46" i="8"/>
  <c r="AK46" i="8"/>
  <c r="AL46" i="8"/>
  <c r="AM46" i="8"/>
  <c r="AN46" i="8"/>
  <c r="AO46" i="8"/>
  <c r="AP46" i="8"/>
  <c r="AQ46" i="8"/>
  <c r="AR46" i="8"/>
  <c r="AS46" i="8"/>
  <c r="BE46" i="8" s="1"/>
  <c r="AT46" i="8"/>
  <c r="AU46" i="8"/>
  <c r="AV46" i="8"/>
  <c r="AW46" i="8"/>
  <c r="AX46" i="8"/>
  <c r="AY46" i="8"/>
  <c r="AZ46" i="8"/>
  <c r="BA46" i="8"/>
  <c r="BB46" i="8"/>
  <c r="BC46" i="8"/>
  <c r="BD46" i="8"/>
  <c r="D47" i="8"/>
  <c r="E47" i="8"/>
  <c r="F47" i="8"/>
  <c r="G47" i="8"/>
  <c r="H47" i="8"/>
  <c r="I47" i="8"/>
  <c r="J47" i="8"/>
  <c r="K47" i="8"/>
  <c r="L47" i="8"/>
  <c r="M47" i="8"/>
  <c r="N47" i="8"/>
  <c r="O47" i="8"/>
  <c r="P47" i="8"/>
  <c r="Q47" i="8"/>
  <c r="R47" i="8"/>
  <c r="S47" i="8"/>
  <c r="T47" i="8"/>
  <c r="U47" i="8"/>
  <c r="V47" i="8"/>
  <c r="W47" i="8"/>
  <c r="X47" i="8"/>
  <c r="Y47" i="8"/>
  <c r="Z47" i="8"/>
  <c r="AA47" i="8"/>
  <c r="AG47" i="8"/>
  <c r="AH47" i="8"/>
  <c r="AI47" i="8"/>
  <c r="AJ47" i="8"/>
  <c r="AK47" i="8"/>
  <c r="AL47" i="8"/>
  <c r="AM47" i="8"/>
  <c r="AN47" i="8"/>
  <c r="AO47" i="8"/>
  <c r="AP47" i="8"/>
  <c r="AQ47" i="8"/>
  <c r="AR47" i="8"/>
  <c r="AS47" i="8"/>
  <c r="BE47" i="8" s="1"/>
  <c r="AT47" i="8"/>
  <c r="AU47" i="8"/>
  <c r="AV47" i="8"/>
  <c r="AW47" i="8"/>
  <c r="AX47" i="8"/>
  <c r="AY47" i="8"/>
  <c r="AZ47" i="8"/>
  <c r="BA47" i="8"/>
  <c r="BB47" i="8"/>
  <c r="BC47" i="8"/>
  <c r="BD47" i="8"/>
  <c r="D48" i="8"/>
  <c r="E48" i="8"/>
  <c r="F48" i="8"/>
  <c r="G48" i="8"/>
  <c r="H48" i="8"/>
  <c r="I48" i="8"/>
  <c r="J48" i="8"/>
  <c r="K48" i="8"/>
  <c r="L48" i="8"/>
  <c r="M48" i="8"/>
  <c r="N48" i="8"/>
  <c r="O48" i="8"/>
  <c r="P48" i="8"/>
  <c r="Q48" i="8"/>
  <c r="R48" i="8"/>
  <c r="S48" i="8"/>
  <c r="T48" i="8"/>
  <c r="U48" i="8"/>
  <c r="V48" i="8"/>
  <c r="W48" i="8"/>
  <c r="X48" i="8"/>
  <c r="Y48" i="8"/>
  <c r="Z48" i="8"/>
  <c r="AA48" i="8"/>
  <c r="AG48" i="8"/>
  <c r="AH48" i="8"/>
  <c r="AI48" i="8"/>
  <c r="AJ48" i="8"/>
  <c r="AK48" i="8"/>
  <c r="AL48" i="8"/>
  <c r="AM48" i="8"/>
  <c r="AN48" i="8"/>
  <c r="AO48" i="8"/>
  <c r="AP48" i="8"/>
  <c r="AQ48" i="8"/>
  <c r="AR48" i="8"/>
  <c r="AS48" i="8"/>
  <c r="BE48" i="8" s="1"/>
  <c r="AT48" i="8"/>
  <c r="AU48" i="8"/>
  <c r="AV48" i="8"/>
  <c r="AW48" i="8"/>
  <c r="AX48" i="8"/>
  <c r="AY48" i="8"/>
  <c r="AZ48" i="8"/>
  <c r="BA48" i="8"/>
  <c r="BB48" i="8"/>
  <c r="BC48" i="8"/>
  <c r="BD48" i="8"/>
  <c r="D49" i="8"/>
  <c r="E49" i="8"/>
  <c r="F49" i="8"/>
  <c r="G49" i="8"/>
  <c r="H49" i="8"/>
  <c r="I49" i="8"/>
  <c r="J49" i="8"/>
  <c r="K49" i="8"/>
  <c r="L49" i="8"/>
  <c r="M49" i="8"/>
  <c r="N49" i="8"/>
  <c r="O49" i="8"/>
  <c r="P49" i="8"/>
  <c r="Q49" i="8"/>
  <c r="R49" i="8"/>
  <c r="S49" i="8"/>
  <c r="T49" i="8"/>
  <c r="U49" i="8"/>
  <c r="V49" i="8"/>
  <c r="W49" i="8"/>
  <c r="X49" i="8"/>
  <c r="Y49" i="8"/>
  <c r="Z49" i="8"/>
  <c r="AA49" i="8"/>
  <c r="AG49" i="8"/>
  <c r="AH49" i="8"/>
  <c r="AI49" i="8"/>
  <c r="AJ49" i="8"/>
  <c r="AK49" i="8"/>
  <c r="AL49" i="8"/>
  <c r="AM49" i="8"/>
  <c r="AN49" i="8"/>
  <c r="AO49" i="8"/>
  <c r="AP49" i="8"/>
  <c r="AQ49" i="8"/>
  <c r="AR49" i="8"/>
  <c r="AS49" i="8"/>
  <c r="BE49" i="8" s="1"/>
  <c r="AT49" i="8"/>
  <c r="AU49" i="8"/>
  <c r="AV49" i="8"/>
  <c r="AW49" i="8"/>
  <c r="AX49" i="8"/>
  <c r="AY49" i="8"/>
  <c r="AZ49" i="8"/>
  <c r="BA49" i="8"/>
  <c r="BB49" i="8"/>
  <c r="BC49" i="8"/>
  <c r="BD49" i="8"/>
  <c r="D50" i="8"/>
  <c r="E50" i="8"/>
  <c r="F50" i="8"/>
  <c r="G50" i="8"/>
  <c r="H50" i="8"/>
  <c r="I50" i="8"/>
  <c r="J50" i="8"/>
  <c r="K50" i="8"/>
  <c r="L50" i="8"/>
  <c r="M50" i="8"/>
  <c r="N50" i="8"/>
  <c r="O50" i="8"/>
  <c r="P50" i="8"/>
  <c r="Q50" i="8"/>
  <c r="R50" i="8"/>
  <c r="S50" i="8"/>
  <c r="T50" i="8"/>
  <c r="U50" i="8"/>
  <c r="V50" i="8"/>
  <c r="W50" i="8"/>
  <c r="X50" i="8"/>
  <c r="Y50" i="8"/>
  <c r="Z50" i="8"/>
  <c r="AA50" i="8"/>
  <c r="AG50" i="8"/>
  <c r="AH50" i="8"/>
  <c r="AI50" i="8"/>
  <c r="AJ50" i="8"/>
  <c r="AK50" i="8"/>
  <c r="AL50" i="8"/>
  <c r="AM50" i="8"/>
  <c r="AN50" i="8"/>
  <c r="AO50" i="8"/>
  <c r="AP50" i="8"/>
  <c r="AQ50" i="8"/>
  <c r="AR50" i="8"/>
  <c r="AS50" i="8"/>
  <c r="BE50" i="8" s="1"/>
  <c r="AT50" i="8"/>
  <c r="AU50" i="8"/>
  <c r="AV50" i="8"/>
  <c r="AW50" i="8"/>
  <c r="AX50" i="8"/>
  <c r="AY50" i="8"/>
  <c r="AZ50" i="8"/>
  <c r="BA50" i="8"/>
  <c r="BB50" i="8"/>
  <c r="BC50" i="8"/>
  <c r="BD50" i="8"/>
  <c r="D51" i="8"/>
  <c r="E51" i="8"/>
  <c r="F51" i="8"/>
  <c r="G51" i="8"/>
  <c r="H51" i="8"/>
  <c r="I51" i="8"/>
  <c r="J51" i="8"/>
  <c r="K51" i="8"/>
  <c r="L51" i="8"/>
  <c r="M51" i="8"/>
  <c r="N51" i="8"/>
  <c r="O51" i="8"/>
  <c r="P51" i="8"/>
  <c r="Q51" i="8"/>
  <c r="R51" i="8"/>
  <c r="S51" i="8"/>
  <c r="T51" i="8"/>
  <c r="U51" i="8"/>
  <c r="V51" i="8"/>
  <c r="W51" i="8"/>
  <c r="X51" i="8"/>
  <c r="Y51" i="8"/>
  <c r="Z51" i="8"/>
  <c r="AA51" i="8"/>
  <c r="AG51" i="8"/>
  <c r="AH51" i="8"/>
  <c r="AI51" i="8"/>
  <c r="AJ51" i="8"/>
  <c r="AK51" i="8"/>
  <c r="AL51" i="8"/>
  <c r="AM51" i="8"/>
  <c r="AN51" i="8"/>
  <c r="AO51" i="8"/>
  <c r="AP51" i="8"/>
  <c r="AQ51" i="8"/>
  <c r="AR51" i="8"/>
  <c r="AS51" i="8"/>
  <c r="BE51" i="8" s="1"/>
  <c r="AT51" i="8"/>
  <c r="AU51" i="8"/>
  <c r="AV51" i="8"/>
  <c r="AW51" i="8"/>
  <c r="AX51" i="8"/>
  <c r="AY51" i="8"/>
  <c r="AZ51" i="8"/>
  <c r="BA51" i="8"/>
  <c r="BB51" i="8"/>
  <c r="BC51" i="8"/>
  <c r="BD51" i="8"/>
  <c r="D52" i="8"/>
  <c r="E52" i="8"/>
  <c r="F52" i="8"/>
  <c r="G52" i="8"/>
  <c r="H52" i="8"/>
  <c r="I52" i="8"/>
  <c r="J52" i="8"/>
  <c r="K52" i="8"/>
  <c r="L52" i="8"/>
  <c r="M52" i="8"/>
  <c r="N52" i="8"/>
  <c r="O52" i="8"/>
  <c r="P52" i="8"/>
  <c r="Q52" i="8"/>
  <c r="R52" i="8"/>
  <c r="S52" i="8"/>
  <c r="T52" i="8"/>
  <c r="U52" i="8"/>
  <c r="V52" i="8"/>
  <c r="W52" i="8"/>
  <c r="X52" i="8"/>
  <c r="Y52" i="8"/>
  <c r="Z52" i="8"/>
  <c r="AA52" i="8"/>
  <c r="AG52" i="8"/>
  <c r="AH52" i="8"/>
  <c r="AI52" i="8"/>
  <c r="AJ52" i="8"/>
  <c r="AK52" i="8"/>
  <c r="AL52" i="8"/>
  <c r="AM52" i="8"/>
  <c r="AN52" i="8"/>
  <c r="AO52" i="8"/>
  <c r="AP52" i="8"/>
  <c r="AQ52" i="8"/>
  <c r="AR52" i="8"/>
  <c r="AS52" i="8"/>
  <c r="BE52" i="8" s="1"/>
  <c r="AT52" i="8"/>
  <c r="AU52" i="8"/>
  <c r="AV52" i="8"/>
  <c r="AW52" i="8"/>
  <c r="AX52" i="8"/>
  <c r="AY52" i="8"/>
  <c r="AZ52" i="8"/>
  <c r="BA52" i="8"/>
  <c r="BB52" i="8"/>
  <c r="BC52" i="8"/>
  <c r="BD52" i="8"/>
  <c r="D53" i="8"/>
  <c r="B6" i="3" s="1"/>
  <c r="E53" i="8"/>
  <c r="C6" i="3" s="1"/>
  <c r="F53" i="8"/>
  <c r="D6" i="3" s="1"/>
  <c r="G53" i="8"/>
  <c r="E6" i="3" s="1"/>
  <c r="H53" i="8"/>
  <c r="F6" i="3" s="1"/>
  <c r="I53" i="8"/>
  <c r="G6" i="3" s="1"/>
  <c r="J53" i="8"/>
  <c r="H6" i="3" s="1"/>
  <c r="K53" i="8"/>
  <c r="I6" i="3" s="1"/>
  <c r="L53" i="8"/>
  <c r="J6" i="3" s="1"/>
  <c r="M53" i="8"/>
  <c r="K6" i="3" s="1"/>
  <c r="N53" i="8"/>
  <c r="L6" i="3" s="1"/>
  <c r="O53" i="8"/>
  <c r="M6" i="3" s="1"/>
  <c r="P53" i="8"/>
  <c r="Q53" i="8"/>
  <c r="O6" i="3" s="1"/>
  <c r="R53" i="8"/>
  <c r="P6" i="3" s="1"/>
  <c r="S53" i="8"/>
  <c r="Q6" i="3" s="1"/>
  <c r="T53" i="8"/>
  <c r="R6" i="3" s="1"/>
  <c r="U53" i="8"/>
  <c r="S6" i="3" s="1"/>
  <c r="V53" i="8"/>
  <c r="T6" i="3" s="1"/>
  <c r="W53" i="8"/>
  <c r="U6" i="3" s="1"/>
  <c r="X53" i="8"/>
  <c r="V6" i="3" s="1"/>
  <c r="Y53" i="8"/>
  <c r="W6" i="3" s="1"/>
  <c r="Z53" i="8"/>
  <c r="X6" i="3" s="1"/>
  <c r="AA53" i="8"/>
  <c r="AG53" i="8"/>
  <c r="B8" i="3" s="1"/>
  <c r="AH53" i="8"/>
  <c r="C8" i="3" s="1"/>
  <c r="AI53" i="8"/>
  <c r="D8" i="3" s="1"/>
  <c r="AJ53" i="8"/>
  <c r="E8" i="3" s="1"/>
  <c r="AK53" i="8"/>
  <c r="F8" i="3" s="1"/>
  <c r="AL53" i="8"/>
  <c r="G8" i="3" s="1"/>
  <c r="AM53" i="8"/>
  <c r="H8" i="3" s="1"/>
  <c r="AN53" i="8"/>
  <c r="I8" i="3" s="1"/>
  <c r="AO53" i="8"/>
  <c r="J8" i="3" s="1"/>
  <c r="AP53" i="8"/>
  <c r="K8" i="3" s="1"/>
  <c r="AQ53" i="8"/>
  <c r="L8" i="3" s="1"/>
  <c r="AR53" i="8"/>
  <c r="M8" i="3" s="1"/>
  <c r="AS53" i="8"/>
  <c r="AT53" i="8"/>
  <c r="O8" i="3" s="1"/>
  <c r="AU53" i="8"/>
  <c r="P8" i="3" s="1"/>
  <c r="AV53" i="8"/>
  <c r="Q8" i="3" s="1"/>
  <c r="AW53" i="8"/>
  <c r="R8" i="3" s="1"/>
  <c r="AX53" i="8"/>
  <c r="S8" i="3" s="1"/>
  <c r="AY53" i="8"/>
  <c r="T8" i="3" s="1"/>
  <c r="AZ53" i="8"/>
  <c r="U8" i="3" s="1"/>
  <c r="BA53" i="8"/>
  <c r="V8" i="3" s="1"/>
  <c r="BB53" i="8"/>
  <c r="W8" i="3" s="1"/>
  <c r="BC53" i="8"/>
  <c r="X8" i="3" s="1"/>
  <c r="BD53" i="8"/>
  <c r="Y8" i="3" s="1"/>
  <c r="D54" i="8"/>
  <c r="B7" i="3" s="1"/>
  <c r="E54" i="8"/>
  <c r="C7" i="3" s="1"/>
  <c r="F54" i="8"/>
  <c r="D7" i="3" s="1"/>
  <c r="G54" i="8"/>
  <c r="E7" i="3" s="1"/>
  <c r="H54" i="8"/>
  <c r="F7" i="3" s="1"/>
  <c r="I54" i="8"/>
  <c r="G7" i="3" s="1"/>
  <c r="J54" i="8"/>
  <c r="H7" i="3" s="1"/>
  <c r="K54" i="8"/>
  <c r="I7" i="3" s="1"/>
  <c r="L54" i="8"/>
  <c r="J7" i="3" s="1"/>
  <c r="M54" i="8"/>
  <c r="K7" i="3" s="1"/>
  <c r="N54" i="8"/>
  <c r="L7" i="3" s="1"/>
  <c r="O54" i="8"/>
  <c r="M7" i="3" s="1"/>
  <c r="P54" i="8"/>
  <c r="N7" i="3" s="1"/>
  <c r="Q54" i="8"/>
  <c r="O7" i="3" s="1"/>
  <c r="R54" i="8"/>
  <c r="P7" i="3" s="1"/>
  <c r="S54" i="8"/>
  <c r="Q7" i="3" s="1"/>
  <c r="T54" i="8"/>
  <c r="R7" i="3" s="1"/>
  <c r="U54" i="8"/>
  <c r="S7" i="3" s="1"/>
  <c r="V54" i="8"/>
  <c r="T7" i="3" s="1"/>
  <c r="W54" i="8"/>
  <c r="U7" i="3" s="1"/>
  <c r="X54" i="8"/>
  <c r="V7" i="3" s="1"/>
  <c r="Y54" i="8"/>
  <c r="W7" i="3" s="1"/>
  <c r="Z54" i="8"/>
  <c r="X7" i="3" s="1"/>
  <c r="AA54" i="8"/>
  <c r="J1" i="5"/>
  <c r="C2" i="5"/>
  <c r="B3" i="5"/>
  <c r="C3" i="5"/>
  <c r="G3" i="5"/>
  <c r="H3" i="5" s="1"/>
  <c r="B4" i="5"/>
  <c r="C4" i="5"/>
  <c r="G4" i="5"/>
  <c r="B5" i="5"/>
  <c r="C5" i="5"/>
  <c r="G5" i="5"/>
  <c r="B6" i="5"/>
  <c r="B7" i="5"/>
  <c r="B8" i="5"/>
  <c r="C8" i="5"/>
  <c r="G8" i="5"/>
  <c r="B9" i="5"/>
  <c r="C9" i="5"/>
  <c r="G9" i="5"/>
  <c r="B10" i="5"/>
  <c r="C10" i="5"/>
  <c r="G10" i="5"/>
  <c r="B11" i="5"/>
  <c r="B12" i="5"/>
  <c r="C12" i="5"/>
  <c r="G12" i="5"/>
  <c r="B13" i="5"/>
  <c r="C13" i="5"/>
  <c r="G13" i="5"/>
  <c r="B14" i="5"/>
  <c r="C14" i="5"/>
  <c r="G14" i="5"/>
  <c r="B15" i="5"/>
  <c r="C15" i="5"/>
  <c r="G15" i="5"/>
  <c r="B16" i="5"/>
  <c r="C16" i="5"/>
  <c r="G16" i="5"/>
  <c r="B17" i="5"/>
  <c r="C17" i="5"/>
  <c r="G17" i="5"/>
  <c r="B18" i="5"/>
  <c r="C18" i="5"/>
  <c r="G18" i="5"/>
  <c r="B19" i="5"/>
  <c r="B20" i="5"/>
  <c r="B21" i="5"/>
  <c r="C21" i="5"/>
  <c r="G21" i="5"/>
  <c r="B22" i="5"/>
  <c r="C22" i="5"/>
  <c r="G22" i="5"/>
  <c r="B23" i="5"/>
  <c r="B24" i="5"/>
  <c r="G24" i="5"/>
  <c r="B25" i="5"/>
  <c r="C25" i="5"/>
  <c r="G25" i="5"/>
  <c r="B26" i="5"/>
  <c r="C26" i="5"/>
  <c r="G26" i="5"/>
  <c r="B27" i="5"/>
  <c r="C27" i="5"/>
  <c r="G27" i="5"/>
  <c r="B28" i="5"/>
  <c r="B29" i="5"/>
  <c r="C29" i="5"/>
  <c r="G29" i="5"/>
  <c r="B30" i="5"/>
  <c r="C30" i="5"/>
  <c r="G30" i="5"/>
  <c r="B31" i="5"/>
  <c r="B32" i="5"/>
  <c r="C32" i="5"/>
  <c r="G32" i="5"/>
  <c r="B33" i="5"/>
  <c r="C33" i="5"/>
  <c r="G33" i="5"/>
  <c r="B34" i="5"/>
  <c r="B35" i="5"/>
  <c r="B36" i="5"/>
  <c r="B37" i="5"/>
  <c r="B38" i="5"/>
  <c r="B39" i="5"/>
  <c r="B40" i="5"/>
  <c r="B41" i="5"/>
  <c r="B42" i="5"/>
  <c r="C42" i="5"/>
  <c r="G42" i="5"/>
  <c r="B43" i="5"/>
  <c r="B44" i="5"/>
  <c r="B45" i="5"/>
  <c r="B46" i="5"/>
  <c r="B47" i="5"/>
  <c r="B48" i="5"/>
  <c r="C48" i="5"/>
  <c r="G48" i="5"/>
  <c r="B49" i="5"/>
  <c r="B50" i="5"/>
  <c r="B51" i="5"/>
  <c r="B52" i="5"/>
  <c r="J60" i="5"/>
  <c r="C61" i="5"/>
  <c r="B62" i="5"/>
  <c r="C62" i="5"/>
  <c r="G62" i="5"/>
  <c r="B63" i="5"/>
  <c r="C63" i="5"/>
  <c r="G63" i="5"/>
  <c r="B64" i="5"/>
  <c r="B65" i="5"/>
  <c r="C65" i="5"/>
  <c r="G65" i="5"/>
  <c r="B66" i="5"/>
  <c r="C66" i="5"/>
  <c r="G66" i="5"/>
  <c r="B67" i="5"/>
  <c r="C67" i="5"/>
  <c r="G67" i="5"/>
  <c r="B68" i="5"/>
  <c r="B69" i="5"/>
  <c r="C69" i="5"/>
  <c r="G69" i="5"/>
  <c r="B70" i="5"/>
  <c r="C70" i="5"/>
  <c r="G70" i="5"/>
  <c r="B71" i="5"/>
  <c r="C71" i="5"/>
  <c r="G71" i="5"/>
  <c r="B72" i="5"/>
  <c r="C72" i="5"/>
  <c r="G72" i="5"/>
  <c r="B73" i="5"/>
  <c r="C73" i="5"/>
  <c r="G73" i="5"/>
  <c r="B74" i="5"/>
  <c r="B75" i="5"/>
  <c r="C75" i="5"/>
  <c r="G75" i="5"/>
  <c r="B76" i="5"/>
  <c r="C76" i="5"/>
  <c r="G76" i="5"/>
  <c r="B77" i="5"/>
  <c r="B78" i="5"/>
  <c r="B79" i="5"/>
  <c r="C79" i="5"/>
  <c r="G79" i="5"/>
  <c r="B80" i="5"/>
  <c r="C80" i="5"/>
  <c r="G80" i="5"/>
  <c r="B81" i="5"/>
  <c r="B82" i="5"/>
  <c r="C82" i="5"/>
  <c r="G82" i="5"/>
  <c r="B83" i="5"/>
  <c r="C83" i="5"/>
  <c r="G83" i="5"/>
  <c r="B84" i="5"/>
  <c r="C84" i="5"/>
  <c r="G84" i="5"/>
  <c r="B85" i="5"/>
  <c r="B86" i="5"/>
  <c r="C86" i="5"/>
  <c r="G86" i="5"/>
  <c r="B87" i="5"/>
  <c r="B88" i="5"/>
  <c r="C88" i="5"/>
  <c r="G88" i="5"/>
  <c r="B89" i="5"/>
  <c r="B90" i="5"/>
  <c r="B91" i="5"/>
  <c r="B92" i="5"/>
  <c r="B93" i="5"/>
  <c r="B94" i="5"/>
  <c r="B95" i="5"/>
  <c r="B96" i="5"/>
  <c r="B97" i="5"/>
  <c r="B98" i="5"/>
  <c r="B99" i="5"/>
  <c r="B100" i="5"/>
  <c r="B101" i="5"/>
  <c r="B102" i="5"/>
  <c r="B103" i="5"/>
  <c r="B104" i="5"/>
  <c r="B105" i="5"/>
  <c r="B106" i="5"/>
  <c r="B107" i="5"/>
  <c r="B108" i="5"/>
  <c r="G108" i="5"/>
  <c r="B109" i="5"/>
  <c r="C109" i="5"/>
  <c r="G109" i="5"/>
  <c r="B110" i="5"/>
  <c r="C110" i="5"/>
  <c r="G110" i="5"/>
  <c r="B111" i="5"/>
  <c r="C111" i="5"/>
  <c r="G111" i="5"/>
  <c r="H2" i="4"/>
  <c r="A3" i="4"/>
  <c r="B5" i="4"/>
  <c r="C5" i="4"/>
  <c r="D5" i="4"/>
  <c r="E5" i="4"/>
  <c r="F5" i="4"/>
  <c r="G5" i="4"/>
  <c r="H5" i="4"/>
  <c r="I5" i="4"/>
  <c r="J5" i="4"/>
  <c r="K5" i="4"/>
  <c r="L5" i="4"/>
  <c r="M5" i="4"/>
  <c r="N5" i="4"/>
  <c r="O5" i="4"/>
  <c r="P5" i="4"/>
  <c r="Q5" i="4"/>
  <c r="R5" i="4"/>
  <c r="S5" i="4"/>
  <c r="T5" i="4"/>
  <c r="U5" i="4"/>
  <c r="V5" i="4"/>
  <c r="W5" i="4"/>
  <c r="X5" i="4"/>
  <c r="Y5" i="4"/>
  <c r="G2" i="3"/>
  <c r="H2" i="3"/>
  <c r="L2" i="3" s="1"/>
  <c r="S2" i="3"/>
  <c r="B4" i="3"/>
  <c r="C4" i="3"/>
  <c r="D4" i="3"/>
  <c r="E4" i="3"/>
  <c r="F4" i="3"/>
  <c r="G4" i="3"/>
  <c r="H4" i="3"/>
  <c r="I4" i="3"/>
  <c r="K4" i="3"/>
  <c r="L4" i="3"/>
  <c r="M4" i="3"/>
  <c r="N4" i="3"/>
  <c r="P4" i="3"/>
  <c r="Q4" i="3"/>
  <c r="R4" i="3"/>
  <c r="S4" i="3"/>
  <c r="T4" i="3"/>
  <c r="U4" i="3"/>
  <c r="V4" i="3"/>
  <c r="W4" i="3"/>
  <c r="X4" i="3"/>
  <c r="Y4" i="3"/>
  <c r="Z4" i="3"/>
  <c r="B5" i="3"/>
  <c r="C5" i="3"/>
  <c r="D5" i="3"/>
  <c r="E5" i="3"/>
  <c r="F5" i="3"/>
  <c r="G5" i="3"/>
  <c r="H5" i="3"/>
  <c r="I5" i="3"/>
  <c r="J5" i="3"/>
  <c r="K5" i="3"/>
  <c r="L5" i="3"/>
  <c r="M5" i="3"/>
  <c r="N5" i="3"/>
  <c r="O5" i="3"/>
  <c r="P5" i="3"/>
  <c r="Q5" i="3"/>
  <c r="R5" i="3"/>
  <c r="S5" i="3"/>
  <c r="T5" i="3"/>
  <c r="U5" i="3"/>
  <c r="V5" i="3"/>
  <c r="W5" i="3"/>
  <c r="X5" i="3"/>
  <c r="Y5" i="3"/>
  <c r="Y6" i="3"/>
  <c r="Y7" i="3"/>
  <c r="B9" i="3"/>
  <c r="C9" i="3"/>
  <c r="D9" i="3"/>
  <c r="E9" i="3"/>
  <c r="F9" i="3"/>
  <c r="G9" i="3"/>
  <c r="H9" i="3"/>
  <c r="I9" i="3"/>
  <c r="J9" i="3"/>
  <c r="K9" i="3"/>
  <c r="L9" i="3"/>
  <c r="M9" i="3"/>
  <c r="N9" i="3"/>
  <c r="O9" i="3"/>
  <c r="P9" i="3"/>
  <c r="Q9" i="3"/>
  <c r="R9" i="3"/>
  <c r="S9" i="3"/>
  <c r="T9" i="3"/>
  <c r="U9" i="3"/>
  <c r="V9" i="3"/>
  <c r="W9" i="3"/>
  <c r="X9" i="3"/>
  <c r="O10" i="3"/>
  <c r="P10" i="3"/>
  <c r="Q10" i="3"/>
  <c r="R10" i="3"/>
  <c r="S10" i="3"/>
  <c r="T10" i="3"/>
  <c r="U10" i="3"/>
  <c r="V10" i="3"/>
  <c r="W10" i="3"/>
  <c r="X10" i="3"/>
  <c r="Y10" i="3"/>
  <c r="A1" i="279"/>
  <c r="B1" i="279"/>
  <c r="B3" i="279"/>
  <c r="D3" i="279" s="1"/>
  <c r="K3" i="279" s="1"/>
  <c r="C3" i="279"/>
  <c r="E3" i="279"/>
  <c r="I3" i="279" s="1"/>
  <c r="F3" i="279"/>
  <c r="G3" i="279"/>
  <c r="H3" i="279"/>
  <c r="J3" i="279"/>
  <c r="O3" i="279"/>
  <c r="P3" i="279"/>
  <c r="Q3" i="279"/>
  <c r="B4" i="279"/>
  <c r="D4" i="279" s="1"/>
  <c r="K4" i="279" s="1"/>
  <c r="C4" i="279"/>
  <c r="E4" i="279"/>
  <c r="I4" i="279" s="1"/>
  <c r="F4" i="279"/>
  <c r="G4" i="279"/>
  <c r="H4" i="279"/>
  <c r="J4" i="279"/>
  <c r="O4" i="279"/>
  <c r="P4" i="279"/>
  <c r="Q4" i="279"/>
  <c r="B5" i="279"/>
  <c r="D5" i="279" s="1"/>
  <c r="K5" i="279" s="1"/>
  <c r="C5" i="279"/>
  <c r="E5" i="279"/>
  <c r="I5" i="279" s="1"/>
  <c r="F5" i="279"/>
  <c r="G5" i="279"/>
  <c r="H5" i="279"/>
  <c r="J5" i="279"/>
  <c r="O5" i="279"/>
  <c r="P5" i="279"/>
  <c r="Q5" i="279"/>
  <c r="B6" i="279"/>
  <c r="D6" i="279" s="1"/>
  <c r="C6" i="279"/>
  <c r="E6" i="279"/>
  <c r="I6" i="279" s="1"/>
  <c r="F6" i="279"/>
  <c r="G6" i="279"/>
  <c r="H6" i="279"/>
  <c r="J6" i="279"/>
  <c r="O6" i="279"/>
  <c r="P6" i="279"/>
  <c r="Q6" i="279"/>
  <c r="B7" i="279"/>
  <c r="D7" i="279" s="1"/>
  <c r="K7" i="279" s="1"/>
  <c r="C7" i="279"/>
  <c r="E7" i="279"/>
  <c r="I7" i="279" s="1"/>
  <c r="F7" i="279"/>
  <c r="G7" i="279"/>
  <c r="H7" i="279"/>
  <c r="J7" i="279"/>
  <c r="O7" i="279"/>
  <c r="P7" i="279"/>
  <c r="Q7" i="279"/>
  <c r="B8" i="279"/>
  <c r="D8" i="279" s="1"/>
  <c r="K8" i="279" s="1"/>
  <c r="C8" i="279"/>
  <c r="E8" i="279"/>
  <c r="F8" i="279"/>
  <c r="G8" i="279"/>
  <c r="H8" i="279"/>
  <c r="I8" i="279"/>
  <c r="J8" i="279"/>
  <c r="O8" i="279"/>
  <c r="P8" i="279"/>
  <c r="Q8" i="279"/>
  <c r="B9" i="279"/>
  <c r="D9" i="279" s="1"/>
  <c r="K9" i="279" s="1"/>
  <c r="C9" i="279"/>
  <c r="E9" i="279"/>
  <c r="I9" i="279" s="1"/>
  <c r="F9" i="279"/>
  <c r="G9" i="279"/>
  <c r="H9" i="279"/>
  <c r="J9" i="279"/>
  <c r="O9" i="279"/>
  <c r="P9" i="279"/>
  <c r="Q9" i="279"/>
  <c r="B10" i="279"/>
  <c r="D10" i="279" s="1"/>
  <c r="C10" i="279"/>
  <c r="E10" i="279"/>
  <c r="I10" i="279" s="1"/>
  <c r="F10" i="279"/>
  <c r="G10" i="279"/>
  <c r="H10" i="279"/>
  <c r="J10" i="279"/>
  <c r="O10" i="279"/>
  <c r="P10" i="279"/>
  <c r="Q10" i="279"/>
  <c r="B11" i="279"/>
  <c r="D11" i="279" s="1"/>
  <c r="K11" i="279" s="1"/>
  <c r="C11" i="279"/>
  <c r="E11" i="279"/>
  <c r="I11" i="279" s="1"/>
  <c r="F11" i="279"/>
  <c r="G11" i="279"/>
  <c r="H11" i="279"/>
  <c r="J11" i="279"/>
  <c r="O11" i="279"/>
  <c r="P11" i="279"/>
  <c r="Q11" i="279"/>
  <c r="B12" i="279"/>
  <c r="D12" i="279" s="1"/>
  <c r="K12" i="279" s="1"/>
  <c r="C12" i="279"/>
  <c r="E12" i="279"/>
  <c r="F12" i="279"/>
  <c r="G12" i="279"/>
  <c r="H12" i="279"/>
  <c r="I12" i="279"/>
  <c r="J12" i="279"/>
  <c r="O12" i="279"/>
  <c r="P12" i="279"/>
  <c r="Q12" i="279"/>
  <c r="B13" i="279"/>
  <c r="D13" i="279" s="1"/>
  <c r="K13" i="279" s="1"/>
  <c r="C13" i="279"/>
  <c r="E13" i="279"/>
  <c r="F13" i="279"/>
  <c r="G13" i="279"/>
  <c r="H13" i="279"/>
  <c r="I13" i="279"/>
  <c r="J13" i="279"/>
  <c r="O13" i="279"/>
  <c r="P13" i="279"/>
  <c r="Q13" i="279"/>
  <c r="B14" i="279"/>
  <c r="D14" i="279" s="1"/>
  <c r="K14" i="279" s="1"/>
  <c r="C14" i="279"/>
  <c r="E14" i="279"/>
  <c r="F14" i="279"/>
  <c r="G14" i="279"/>
  <c r="H14" i="279"/>
  <c r="I14" i="279"/>
  <c r="J14" i="279"/>
  <c r="O14" i="279"/>
  <c r="P14" i="279"/>
  <c r="Q14" i="279"/>
  <c r="B15" i="279"/>
  <c r="D15" i="279" s="1"/>
  <c r="K15" i="279" s="1"/>
  <c r="C15" i="279"/>
  <c r="E15" i="279"/>
  <c r="I15" i="279" s="1"/>
  <c r="F15" i="279"/>
  <c r="G15" i="279"/>
  <c r="H15" i="279"/>
  <c r="J15" i="279"/>
  <c r="O15" i="279"/>
  <c r="P15" i="279"/>
  <c r="Q15" i="279"/>
  <c r="B16" i="279"/>
  <c r="D16" i="279" s="1"/>
  <c r="K16" i="279" s="1"/>
  <c r="C16" i="279"/>
  <c r="E16" i="279"/>
  <c r="I16" i="279" s="1"/>
  <c r="F16" i="279"/>
  <c r="G16" i="279"/>
  <c r="H16" i="279"/>
  <c r="J16" i="279"/>
  <c r="O16" i="279"/>
  <c r="P16" i="279"/>
  <c r="Q16" i="279"/>
  <c r="B17" i="279"/>
  <c r="D17" i="279" s="1"/>
  <c r="K17" i="279" s="1"/>
  <c r="C17" i="279"/>
  <c r="E17" i="279"/>
  <c r="F17" i="279"/>
  <c r="G17" i="279"/>
  <c r="H17" i="279"/>
  <c r="I17" i="279"/>
  <c r="J17" i="279"/>
  <c r="O17" i="279"/>
  <c r="P17" i="279"/>
  <c r="Q17" i="279"/>
  <c r="B18" i="279"/>
  <c r="D18" i="279" s="1"/>
  <c r="K18" i="279" s="1"/>
  <c r="C18" i="279"/>
  <c r="E18" i="279"/>
  <c r="I18" i="279" s="1"/>
  <c r="F18" i="279"/>
  <c r="G18" i="279"/>
  <c r="H18" i="279"/>
  <c r="J18" i="279"/>
  <c r="O18" i="279"/>
  <c r="P18" i="279"/>
  <c r="Q18" i="279"/>
  <c r="B19" i="279"/>
  <c r="D19" i="279" s="1"/>
  <c r="K19" i="279" s="1"/>
  <c r="C19" i="279"/>
  <c r="E19" i="279"/>
  <c r="I19" i="279" s="1"/>
  <c r="F19" i="279"/>
  <c r="G19" i="279"/>
  <c r="H19" i="279"/>
  <c r="J19" i="279"/>
  <c r="O19" i="279"/>
  <c r="P19" i="279"/>
  <c r="Q19" i="279"/>
  <c r="B20" i="279"/>
  <c r="D20" i="279" s="1"/>
  <c r="K20" i="279" s="1"/>
  <c r="C20" i="279"/>
  <c r="E20" i="279"/>
  <c r="F20" i="279"/>
  <c r="G20" i="279"/>
  <c r="H20" i="279"/>
  <c r="I20" i="279"/>
  <c r="J20" i="279"/>
  <c r="O20" i="279"/>
  <c r="P20" i="279"/>
  <c r="Q20" i="279"/>
  <c r="B21" i="279"/>
  <c r="D21" i="279" s="1"/>
  <c r="K21" i="279" s="1"/>
  <c r="C21" i="279"/>
  <c r="E21" i="279"/>
  <c r="F21" i="279"/>
  <c r="G21" i="279"/>
  <c r="H21" i="279"/>
  <c r="I21" i="279"/>
  <c r="J21" i="279"/>
  <c r="O21" i="279"/>
  <c r="P21" i="279"/>
  <c r="Q21" i="279"/>
  <c r="B22" i="279"/>
  <c r="D22" i="279" s="1"/>
  <c r="K22" i="279" s="1"/>
  <c r="C22" i="279"/>
  <c r="E22" i="279"/>
  <c r="I22" i="279" s="1"/>
  <c r="F22" i="279"/>
  <c r="G22" i="279"/>
  <c r="H22" i="279"/>
  <c r="J22" i="279"/>
  <c r="O22" i="279"/>
  <c r="P22" i="279"/>
  <c r="Q22" i="279"/>
  <c r="B23" i="279"/>
  <c r="D23" i="279" s="1"/>
  <c r="K23" i="279" s="1"/>
  <c r="C23" i="279"/>
  <c r="E23" i="279"/>
  <c r="I23" i="279" s="1"/>
  <c r="F23" i="279"/>
  <c r="G23" i="279"/>
  <c r="H23" i="279"/>
  <c r="J23" i="279"/>
  <c r="O23" i="279"/>
  <c r="P23" i="279"/>
  <c r="Q23" i="279"/>
  <c r="B24" i="279"/>
  <c r="D24" i="279" s="1"/>
  <c r="K24" i="279" s="1"/>
  <c r="C24" i="279"/>
  <c r="E24" i="279"/>
  <c r="I24" i="279" s="1"/>
  <c r="F24" i="279"/>
  <c r="G24" i="279"/>
  <c r="H24" i="279"/>
  <c r="J24" i="279"/>
  <c r="O24" i="279"/>
  <c r="P24" i="279"/>
  <c r="Q24" i="279"/>
  <c r="B25" i="279"/>
  <c r="D25" i="279" s="1"/>
  <c r="C25" i="279"/>
  <c r="E25" i="279"/>
  <c r="I25" i="279" s="1"/>
  <c r="F25" i="279"/>
  <c r="G25" i="279"/>
  <c r="H25" i="279"/>
  <c r="J25" i="279"/>
  <c r="O25" i="279"/>
  <c r="P25" i="279"/>
  <c r="Q25" i="279"/>
  <c r="B26" i="279"/>
  <c r="D26" i="279" s="1"/>
  <c r="K26" i="279" s="1"/>
  <c r="C26" i="279"/>
  <c r="P26" i="279" s="1"/>
  <c r="E26" i="279"/>
  <c r="I26" i="279" s="1"/>
  <c r="F26" i="279"/>
  <c r="G26" i="279"/>
  <c r="H26" i="279"/>
  <c r="J26" i="279"/>
  <c r="O26" i="279"/>
  <c r="Q26" i="279"/>
  <c r="B27" i="279"/>
  <c r="C27" i="279"/>
  <c r="D27" i="279"/>
  <c r="E27" i="279"/>
  <c r="F27" i="279"/>
  <c r="G27" i="279"/>
  <c r="H27" i="279"/>
  <c r="I27" i="279"/>
  <c r="J27" i="279"/>
  <c r="K27" i="279"/>
  <c r="L27" i="279"/>
  <c r="M27" i="279"/>
  <c r="O27" i="279"/>
  <c r="P27" i="279"/>
  <c r="Q27" i="279"/>
  <c r="B28" i="279"/>
  <c r="C28" i="279"/>
  <c r="D28" i="279"/>
  <c r="E28" i="279"/>
  <c r="F28" i="279"/>
  <c r="G28" i="279"/>
  <c r="H28" i="279"/>
  <c r="I28" i="279"/>
  <c r="J28" i="279"/>
  <c r="K28" i="279"/>
  <c r="L28" i="279"/>
  <c r="M28" i="279"/>
  <c r="O28" i="279"/>
  <c r="P28" i="279"/>
  <c r="Q28" i="279"/>
  <c r="B29" i="279"/>
  <c r="C29" i="279"/>
  <c r="D29" i="279"/>
  <c r="E29" i="279"/>
  <c r="F29" i="279"/>
  <c r="G29" i="279"/>
  <c r="H29" i="279"/>
  <c r="I29" i="279"/>
  <c r="J29" i="279"/>
  <c r="K29" i="279"/>
  <c r="L29" i="279"/>
  <c r="M29" i="279"/>
  <c r="O29" i="279"/>
  <c r="P29" i="279"/>
  <c r="Q29" i="279"/>
  <c r="B30" i="279"/>
  <c r="C30" i="279"/>
  <c r="D30" i="279"/>
  <c r="E30" i="279"/>
  <c r="F30" i="279"/>
  <c r="G30" i="279"/>
  <c r="H30" i="279"/>
  <c r="I30" i="279"/>
  <c r="J30" i="279"/>
  <c r="K30" i="279"/>
  <c r="L30" i="279"/>
  <c r="M30" i="279"/>
  <c r="O30" i="279"/>
  <c r="P30" i="279"/>
  <c r="Q30" i="279"/>
  <c r="B31" i="279"/>
  <c r="C31" i="279"/>
  <c r="D31" i="279"/>
  <c r="E31" i="279"/>
  <c r="F31" i="279"/>
  <c r="G31" i="279"/>
  <c r="H31" i="279"/>
  <c r="I31" i="279"/>
  <c r="J31" i="279"/>
  <c r="K31" i="279"/>
  <c r="L31" i="279"/>
  <c r="M31" i="279"/>
  <c r="O31" i="279"/>
  <c r="P31" i="279"/>
  <c r="Q31" i="279"/>
  <c r="B32" i="279"/>
  <c r="C32" i="279"/>
  <c r="D32" i="279"/>
  <c r="E32" i="279"/>
  <c r="F32" i="279"/>
  <c r="G32" i="279"/>
  <c r="H32" i="279"/>
  <c r="I32" i="279"/>
  <c r="J32" i="279"/>
  <c r="K32" i="279"/>
  <c r="L32" i="279"/>
  <c r="M32" i="279"/>
  <c r="O32" i="279"/>
  <c r="P32" i="279"/>
  <c r="Q32" i="279"/>
  <c r="B33" i="279"/>
  <c r="C33" i="279"/>
  <c r="D33" i="279"/>
  <c r="E33" i="279"/>
  <c r="F33" i="279"/>
  <c r="G33" i="279"/>
  <c r="H33" i="279"/>
  <c r="I33" i="279"/>
  <c r="J33" i="279"/>
  <c r="K33" i="279"/>
  <c r="L33" i="279"/>
  <c r="M33" i="279"/>
  <c r="O33" i="279"/>
  <c r="P33" i="279"/>
  <c r="Q33" i="279"/>
  <c r="B34" i="279"/>
  <c r="C34" i="279"/>
  <c r="D34" i="279"/>
  <c r="E34" i="279"/>
  <c r="F34" i="279"/>
  <c r="G34" i="279"/>
  <c r="H34" i="279"/>
  <c r="I34" i="279"/>
  <c r="J34" i="279"/>
  <c r="K34" i="279"/>
  <c r="L34" i="279"/>
  <c r="M34" i="279"/>
  <c r="O34" i="279"/>
  <c r="P34" i="279"/>
  <c r="Q34" i="279"/>
  <c r="B35" i="279"/>
  <c r="C35" i="279"/>
  <c r="D35" i="279"/>
  <c r="E35" i="279"/>
  <c r="F35" i="279"/>
  <c r="G35" i="279"/>
  <c r="H35" i="279"/>
  <c r="I35" i="279"/>
  <c r="J35" i="279"/>
  <c r="K35" i="279"/>
  <c r="L35" i="279"/>
  <c r="M35" i="279"/>
  <c r="O35" i="279"/>
  <c r="P35" i="279"/>
  <c r="Q35" i="279"/>
  <c r="B36" i="279"/>
  <c r="C36" i="279"/>
  <c r="D36" i="279"/>
  <c r="E36" i="279"/>
  <c r="F36" i="279"/>
  <c r="G36" i="279"/>
  <c r="H36" i="279"/>
  <c r="I36" i="279"/>
  <c r="J36" i="279"/>
  <c r="K36" i="279"/>
  <c r="L36" i="279"/>
  <c r="M36" i="279"/>
  <c r="O36" i="279"/>
  <c r="P36" i="279"/>
  <c r="Q36" i="279"/>
  <c r="B37" i="279"/>
  <c r="C37" i="279"/>
  <c r="D37" i="279"/>
  <c r="E37" i="279"/>
  <c r="F37" i="279"/>
  <c r="G37" i="279"/>
  <c r="H37" i="279"/>
  <c r="I37" i="279"/>
  <c r="J37" i="279"/>
  <c r="K37" i="279"/>
  <c r="L37" i="279"/>
  <c r="M37" i="279"/>
  <c r="O37" i="279"/>
  <c r="P37" i="279"/>
  <c r="Q37" i="279"/>
  <c r="B38" i="279"/>
  <c r="C38" i="279"/>
  <c r="D38" i="279"/>
  <c r="E38" i="279"/>
  <c r="F38" i="279"/>
  <c r="G38" i="279"/>
  <c r="H38" i="279"/>
  <c r="I38" i="279"/>
  <c r="J38" i="279"/>
  <c r="K38" i="279"/>
  <c r="L38" i="279"/>
  <c r="M38" i="279"/>
  <c r="O38" i="279"/>
  <c r="P38" i="279"/>
  <c r="Q38" i="279"/>
  <c r="B39" i="279"/>
  <c r="C39" i="279"/>
  <c r="D39" i="279"/>
  <c r="E39" i="279"/>
  <c r="F39" i="279"/>
  <c r="G39" i="279"/>
  <c r="H39" i="279"/>
  <c r="I39" i="279"/>
  <c r="J39" i="279"/>
  <c r="K39" i="279"/>
  <c r="L39" i="279"/>
  <c r="M39" i="279"/>
  <c r="O39" i="279"/>
  <c r="P39" i="279"/>
  <c r="Q39" i="279"/>
  <c r="B40" i="279"/>
  <c r="C40" i="279"/>
  <c r="D40" i="279"/>
  <c r="E40" i="279"/>
  <c r="F40" i="279"/>
  <c r="G40" i="279"/>
  <c r="H40" i="279"/>
  <c r="I40" i="279"/>
  <c r="J40" i="279"/>
  <c r="K40" i="279"/>
  <c r="L40" i="279"/>
  <c r="M40" i="279"/>
  <c r="O40" i="279"/>
  <c r="P40" i="279"/>
  <c r="Q40" i="279"/>
  <c r="B41" i="279"/>
  <c r="C41" i="279"/>
  <c r="D41" i="279"/>
  <c r="E41" i="279"/>
  <c r="F41" i="279"/>
  <c r="G41" i="279"/>
  <c r="H41" i="279"/>
  <c r="I41" i="279"/>
  <c r="J41" i="279"/>
  <c r="K41" i="279"/>
  <c r="L41" i="279"/>
  <c r="M41" i="279"/>
  <c r="O41" i="279"/>
  <c r="P41" i="279"/>
  <c r="Q41" i="279"/>
  <c r="B42" i="279"/>
  <c r="C42" i="279"/>
  <c r="D42" i="279"/>
  <c r="E42" i="279"/>
  <c r="F42" i="279"/>
  <c r="G42" i="279"/>
  <c r="H42" i="279"/>
  <c r="I42" i="279"/>
  <c r="J42" i="279"/>
  <c r="K42" i="279"/>
  <c r="L42" i="279"/>
  <c r="M42" i="279"/>
  <c r="O42" i="279"/>
  <c r="P42" i="279"/>
  <c r="Q42" i="279"/>
  <c r="B43" i="279"/>
  <c r="C43" i="279"/>
  <c r="D43" i="279"/>
  <c r="E43" i="279"/>
  <c r="F43" i="279"/>
  <c r="G43" i="279"/>
  <c r="H43" i="279"/>
  <c r="I43" i="279"/>
  <c r="J43" i="279"/>
  <c r="K43" i="279"/>
  <c r="L43" i="279"/>
  <c r="M43" i="279"/>
  <c r="O43" i="279"/>
  <c r="P43" i="279"/>
  <c r="Q43" i="279"/>
  <c r="B44" i="279"/>
  <c r="C44" i="279"/>
  <c r="D44" i="279"/>
  <c r="E44" i="279"/>
  <c r="F44" i="279"/>
  <c r="G44" i="279"/>
  <c r="H44" i="279"/>
  <c r="I44" i="279"/>
  <c r="J44" i="279"/>
  <c r="K44" i="279"/>
  <c r="L44" i="279"/>
  <c r="M44" i="279"/>
  <c r="O44" i="279"/>
  <c r="P44" i="279"/>
  <c r="Q44" i="279"/>
  <c r="B45" i="279"/>
  <c r="C45" i="279"/>
  <c r="D45" i="279"/>
  <c r="E45" i="279"/>
  <c r="F45" i="279"/>
  <c r="G45" i="279"/>
  <c r="H45" i="279"/>
  <c r="I45" i="279"/>
  <c r="J45" i="279"/>
  <c r="K45" i="279"/>
  <c r="L45" i="279"/>
  <c r="M45" i="279"/>
  <c r="O45" i="279"/>
  <c r="P45" i="279"/>
  <c r="Q45" i="279"/>
  <c r="B46" i="279"/>
  <c r="C46" i="279"/>
  <c r="D46" i="279"/>
  <c r="E46" i="279"/>
  <c r="F46" i="279"/>
  <c r="G46" i="279"/>
  <c r="H46" i="279"/>
  <c r="I46" i="279"/>
  <c r="J46" i="279"/>
  <c r="K46" i="279"/>
  <c r="L46" i="279"/>
  <c r="M46" i="279"/>
  <c r="O46" i="279"/>
  <c r="P46" i="279"/>
  <c r="Q46" i="279"/>
  <c r="B47" i="279"/>
  <c r="C47" i="279"/>
  <c r="D47" i="279"/>
  <c r="E47" i="279"/>
  <c r="F47" i="279"/>
  <c r="G47" i="279"/>
  <c r="H47" i="279"/>
  <c r="I47" i="279"/>
  <c r="J47" i="279"/>
  <c r="K47" i="279"/>
  <c r="L47" i="279"/>
  <c r="M47" i="279"/>
  <c r="O47" i="279"/>
  <c r="P47" i="279"/>
  <c r="Q47" i="279"/>
  <c r="B48" i="279"/>
  <c r="C48" i="279"/>
  <c r="D48" i="279"/>
  <c r="E48" i="279"/>
  <c r="F48" i="279"/>
  <c r="G48" i="279"/>
  <c r="H48" i="279"/>
  <c r="I48" i="279"/>
  <c r="J48" i="279"/>
  <c r="K48" i="279"/>
  <c r="L48" i="279"/>
  <c r="M48" i="279"/>
  <c r="O48" i="279"/>
  <c r="P48" i="279"/>
  <c r="Q48" i="279"/>
  <c r="B49" i="279"/>
  <c r="C49" i="279"/>
  <c r="D49" i="279"/>
  <c r="E49" i="279"/>
  <c r="F49" i="279"/>
  <c r="G49" i="279"/>
  <c r="H49" i="279"/>
  <c r="I49" i="279"/>
  <c r="J49" i="279"/>
  <c r="K49" i="279"/>
  <c r="L49" i="279"/>
  <c r="M49" i="279"/>
  <c r="O49" i="279"/>
  <c r="P49" i="279"/>
  <c r="Q49" i="279"/>
  <c r="B50" i="279"/>
  <c r="C50" i="279"/>
  <c r="D50" i="279"/>
  <c r="E50" i="279"/>
  <c r="F50" i="279"/>
  <c r="G50" i="279"/>
  <c r="H50" i="279"/>
  <c r="I50" i="279"/>
  <c r="J50" i="279"/>
  <c r="K50" i="279"/>
  <c r="L50" i="279"/>
  <c r="M50" i="279"/>
  <c r="O50" i="279"/>
  <c r="P50" i="279"/>
  <c r="Q50" i="279"/>
  <c r="B51" i="279"/>
  <c r="C51" i="279"/>
  <c r="D51" i="279"/>
  <c r="E51" i="279"/>
  <c r="F51" i="279"/>
  <c r="G51" i="279"/>
  <c r="H51" i="279"/>
  <c r="I51" i="279"/>
  <c r="J51" i="279"/>
  <c r="K51" i="279"/>
  <c r="L51" i="279"/>
  <c r="M51" i="279"/>
  <c r="O51" i="279"/>
  <c r="P51" i="279"/>
  <c r="Q51" i="279"/>
  <c r="B52" i="279"/>
  <c r="C52" i="279"/>
  <c r="D52" i="279"/>
  <c r="E52" i="279"/>
  <c r="F52" i="279"/>
  <c r="G52" i="279"/>
  <c r="H52" i="279"/>
  <c r="I52" i="279"/>
  <c r="J52" i="279"/>
  <c r="K52" i="279"/>
  <c r="L52" i="279"/>
  <c r="M52" i="279"/>
  <c r="O52" i="279"/>
  <c r="P52" i="279"/>
  <c r="Q52" i="279"/>
  <c r="B53" i="279"/>
  <c r="C53" i="279"/>
  <c r="D53" i="279"/>
  <c r="E53" i="279"/>
  <c r="F53" i="279"/>
  <c r="G53" i="279"/>
  <c r="H53" i="279"/>
  <c r="I53" i="279"/>
  <c r="G56" i="279"/>
  <c r="H57" i="279"/>
  <c r="L3" i="34" l="1"/>
  <c r="M3" i="34"/>
  <c r="C23" i="5"/>
  <c r="D23" i="5" s="1"/>
  <c r="F11" i="36"/>
  <c r="C106" i="5"/>
  <c r="G23" i="5"/>
  <c r="H23" i="5" s="1"/>
  <c r="F12" i="36"/>
  <c r="G106" i="5"/>
  <c r="M4" i="34"/>
  <c r="L4" i="34"/>
  <c r="G11" i="36"/>
  <c r="C68" i="5"/>
  <c r="C31" i="5"/>
  <c r="D31" i="5" s="1"/>
  <c r="G68" i="5"/>
  <c r="G31" i="5"/>
  <c r="H31" i="5" s="1"/>
  <c r="G12" i="36"/>
  <c r="L5" i="34"/>
  <c r="M5" i="34"/>
  <c r="H11" i="36"/>
  <c r="C47" i="5"/>
  <c r="D47" i="5" s="1"/>
  <c r="C101" i="5"/>
  <c r="G101" i="5"/>
  <c r="H12" i="36"/>
  <c r="G47" i="5"/>
  <c r="H47" i="5" s="1"/>
  <c r="M6" i="34"/>
  <c r="L6" i="34"/>
  <c r="I11" i="36"/>
  <c r="C99" i="5"/>
  <c r="C46" i="5"/>
  <c r="D46" i="5" s="1"/>
  <c r="G99" i="5"/>
  <c r="G46" i="5"/>
  <c r="H46" i="5" s="1"/>
  <c r="I12" i="36"/>
  <c r="M7" i="34"/>
  <c r="L7" i="34"/>
  <c r="C96" i="5"/>
  <c r="J11" i="36"/>
  <c r="C44" i="5"/>
  <c r="D44" i="5" s="1"/>
  <c r="G96" i="5"/>
  <c r="G44" i="5"/>
  <c r="H44" i="5" s="1"/>
  <c r="BD7" i="8"/>
  <c r="BE7" i="8" s="1"/>
  <c r="BF32" i="8" s="1"/>
  <c r="J12" i="36"/>
  <c r="M8" i="34"/>
  <c r="L8" i="34"/>
  <c r="C19" i="5"/>
  <c r="K11" i="36"/>
  <c r="AA8" i="8"/>
  <c r="C87" i="5"/>
  <c r="G19" i="5"/>
  <c r="K12" i="36"/>
  <c r="G87" i="5"/>
  <c r="BD8" i="8"/>
  <c r="BE8" i="8" s="1"/>
  <c r="M9" i="34"/>
  <c r="L9" i="34"/>
  <c r="C81" i="5"/>
  <c r="L11" i="36"/>
  <c r="C35" i="5"/>
  <c r="D35" i="5" s="1"/>
  <c r="AA9" i="8"/>
  <c r="G35" i="5"/>
  <c r="H35" i="5" s="1"/>
  <c r="G81" i="5"/>
  <c r="L12" i="36"/>
  <c r="BD9" i="8"/>
  <c r="BE9" i="8" s="1"/>
  <c r="M10" i="34"/>
  <c r="L10" i="34"/>
  <c r="C50" i="5"/>
  <c r="D50" i="5" s="1"/>
  <c r="M11" i="36"/>
  <c r="C107" i="5"/>
  <c r="AA10" i="8"/>
  <c r="Y6" i="4" s="1"/>
  <c r="M12" i="36"/>
  <c r="BD10" i="8"/>
  <c r="Y7" i="4" s="1"/>
  <c r="G107" i="5"/>
  <c r="G50" i="5"/>
  <c r="H50" i="5" s="1"/>
  <c r="M11" i="34"/>
  <c r="L11" i="34"/>
  <c r="N11" i="36"/>
  <c r="AA11" i="8"/>
  <c r="C28" i="5"/>
  <c r="C64" i="5"/>
  <c r="N12" i="36"/>
  <c r="G28" i="5"/>
  <c r="BD11" i="8"/>
  <c r="BE11" i="8" s="1"/>
  <c r="G64" i="5"/>
  <c r="M12" i="34"/>
  <c r="L12" i="34"/>
  <c r="O11" i="36"/>
  <c r="AA12" i="8"/>
  <c r="C93" i="5"/>
  <c r="C43" i="5"/>
  <c r="D43" i="5" s="1"/>
  <c r="BD12" i="8"/>
  <c r="BE12" i="8" s="1"/>
  <c r="G93" i="5"/>
  <c r="G43" i="5"/>
  <c r="H43" i="5" s="1"/>
  <c r="O12" i="36"/>
  <c r="M13" i="34"/>
  <c r="L13" i="34"/>
  <c r="AA13" i="8"/>
  <c r="P11" i="36"/>
  <c r="C20" i="5"/>
  <c r="D20" i="5" s="1"/>
  <c r="C92" i="5"/>
  <c r="BD13" i="8"/>
  <c r="BE13" i="8" s="1"/>
  <c r="G20" i="5"/>
  <c r="H20" i="5" s="1"/>
  <c r="P12" i="36"/>
  <c r="G92" i="5"/>
  <c r="M14" i="34"/>
  <c r="L14" i="34"/>
  <c r="Q11" i="36"/>
  <c r="C85" i="5"/>
  <c r="AA14" i="8"/>
  <c r="C11" i="5"/>
  <c r="D11" i="5" s="1"/>
  <c r="G85" i="5"/>
  <c r="BD14" i="8"/>
  <c r="BE14" i="8" s="1"/>
  <c r="G11" i="5"/>
  <c r="H11" i="5" s="1"/>
  <c r="Q12" i="36"/>
  <c r="M15" i="34"/>
  <c r="L15" i="34"/>
  <c r="R11" i="36"/>
  <c r="AA15" i="8"/>
  <c r="C41" i="5"/>
  <c r="D41" i="5" s="1"/>
  <c r="C90" i="5"/>
  <c r="BD15" i="8"/>
  <c r="BE15" i="8" s="1"/>
  <c r="R12" i="36"/>
  <c r="G90" i="5"/>
  <c r="G41" i="5"/>
  <c r="H41" i="5" s="1"/>
  <c r="M16" i="34"/>
  <c r="L16" i="34"/>
  <c r="AA16" i="8"/>
  <c r="S11" i="36"/>
  <c r="C74" i="5"/>
  <c r="C6" i="5"/>
  <c r="S12" i="36"/>
  <c r="G74" i="5"/>
  <c r="G6" i="5"/>
  <c r="BD16" i="8"/>
  <c r="BE16" i="8" s="1"/>
  <c r="M17" i="34"/>
  <c r="L17" i="34"/>
  <c r="C78" i="5"/>
  <c r="T11" i="36"/>
  <c r="C7" i="5"/>
  <c r="D7" i="5" s="1"/>
  <c r="AA17" i="8"/>
  <c r="T12" i="36"/>
  <c r="G78" i="5"/>
  <c r="BD17" i="8"/>
  <c r="BE17" i="8" s="1"/>
  <c r="G7" i="5"/>
  <c r="H7" i="5" s="1"/>
  <c r="L18" i="34"/>
  <c r="M18" i="34"/>
  <c r="C77" i="5"/>
  <c r="AA18" i="8"/>
  <c r="U11" i="36"/>
  <c r="C34" i="5"/>
  <c r="D34" i="5" s="1"/>
  <c r="BD18" i="8"/>
  <c r="BE18" i="8" s="1"/>
  <c r="G77" i="5"/>
  <c r="U12" i="36"/>
  <c r="G34" i="5"/>
  <c r="H34" i="5" s="1"/>
  <c r="D19" i="34"/>
  <c r="K19" i="34" s="1"/>
  <c r="P19" i="34"/>
  <c r="P53" i="34" s="1"/>
  <c r="C108" i="5"/>
  <c r="AA19" i="8"/>
  <c r="V11" i="36"/>
  <c r="C24" i="5"/>
  <c r="D24" i="5" s="1"/>
  <c r="C98" i="5"/>
  <c r="W11" i="36"/>
  <c r="G98" i="5"/>
  <c r="W12" i="36"/>
  <c r="X11" i="36"/>
  <c r="C36" i="5"/>
  <c r="D36" i="5" s="1"/>
  <c r="G36" i="5"/>
  <c r="H36" i="5" s="1"/>
  <c r="X12" i="36"/>
  <c r="C100" i="5"/>
  <c r="Y11" i="36"/>
  <c r="BD22" i="8"/>
  <c r="BE22" i="8" s="1"/>
  <c r="G100" i="5"/>
  <c r="Y12" i="36"/>
  <c r="AA23" i="8"/>
  <c r="Z11" i="36"/>
  <c r="C45" i="5"/>
  <c r="D45" i="5" s="1"/>
  <c r="C97" i="5"/>
  <c r="AB11" i="36"/>
  <c r="AB12" i="36"/>
  <c r="G45" i="5"/>
  <c r="H45" i="5" s="1"/>
  <c r="G97" i="5"/>
  <c r="C103" i="5"/>
  <c r="C49" i="5"/>
  <c r="D49" i="5" s="1"/>
  <c r="AF11" i="36"/>
  <c r="G103" i="5"/>
  <c r="AF12" i="36"/>
  <c r="BD29" i="8"/>
  <c r="BE29" i="8" s="1"/>
  <c r="G49" i="5"/>
  <c r="H49" i="5" s="1"/>
  <c r="C105" i="5"/>
  <c r="AA30" i="8"/>
  <c r="AG11" i="36"/>
  <c r="BD30" i="8"/>
  <c r="BE30" i="8" s="1"/>
  <c r="AG12" i="36"/>
  <c r="G105" i="5"/>
  <c r="AA31" i="8"/>
  <c r="C38" i="5"/>
  <c r="D38" i="5" s="1"/>
  <c r="AH11" i="36"/>
  <c r="BD31" i="8"/>
  <c r="BE31" i="8" s="1"/>
  <c r="AH12" i="36"/>
  <c r="G38" i="5"/>
  <c r="H38" i="5" s="1"/>
  <c r="AI11" i="36"/>
  <c r="AA32" i="8"/>
  <c r="C51" i="5"/>
  <c r="D51" i="5" s="1"/>
  <c r="AM11" i="36"/>
  <c r="AM12" i="36"/>
  <c r="G51" i="5"/>
  <c r="H51" i="5" s="1"/>
  <c r="AA37" i="8"/>
  <c r="AN11" i="36"/>
  <c r="AN12" i="36"/>
  <c r="BD37" i="8"/>
  <c r="BE37" i="8" s="1"/>
  <c r="AA38" i="8"/>
  <c r="AO11" i="36"/>
  <c r="BD38" i="8"/>
  <c r="BE38" i="8" s="1"/>
  <c r="AO12" i="36"/>
  <c r="AP11" i="36"/>
  <c r="AA39" i="8"/>
  <c r="C94" i="5"/>
  <c r="G94" i="5"/>
  <c r="BD39" i="8"/>
  <c r="BE39" i="8" s="1"/>
  <c r="AP12" i="36"/>
  <c r="AQ11" i="36"/>
  <c r="AA40" i="8"/>
  <c r="BD40" i="8"/>
  <c r="BE40" i="8" s="1"/>
  <c r="AQ12" i="36"/>
  <c r="C39" i="5"/>
  <c r="D39" i="5" s="1"/>
  <c r="AR11" i="36"/>
  <c r="AA41" i="8"/>
  <c r="AR12" i="36"/>
  <c r="G39" i="5"/>
  <c r="H39" i="5" s="1"/>
  <c r="AU11" i="36"/>
  <c r="C37" i="5"/>
  <c r="D37" i="5" s="1"/>
  <c r="AU12" i="36"/>
  <c r="BD44" i="8"/>
  <c r="BE44" i="8" s="1"/>
  <c r="G37" i="5"/>
  <c r="H37" i="5" s="1"/>
  <c r="AV11" i="36"/>
  <c r="AA45" i="8"/>
  <c r="C104" i="5"/>
  <c r="C52" i="5"/>
  <c r="D52" i="5" s="1"/>
  <c r="AV12" i="36"/>
  <c r="BD45" i="8"/>
  <c r="BE45" i="8" s="1"/>
  <c r="G104" i="5"/>
  <c r="G52" i="5"/>
  <c r="H52" i="5" s="1"/>
  <c r="AW11" i="36"/>
  <c r="C102" i="5"/>
  <c r="AW12" i="36"/>
  <c r="G102" i="5"/>
  <c r="AX11" i="36"/>
  <c r="C91" i="5"/>
  <c r="G91" i="5"/>
  <c r="AX12" i="36"/>
  <c r="C40" i="5"/>
  <c r="D40" i="5" s="1"/>
  <c r="C89" i="5"/>
  <c r="D89" i="5" s="1"/>
  <c r="AZ11" i="36"/>
  <c r="G40" i="5"/>
  <c r="H40" i="5" s="1"/>
  <c r="AZ12" i="36"/>
  <c r="G89" i="5"/>
  <c r="BB11" i="36"/>
  <c r="C95" i="5"/>
  <c r="D95" i="5" s="1"/>
  <c r="G95" i="5"/>
  <c r="H95" i="5" s="1"/>
  <c r="BB12" i="36"/>
  <c r="AD3" i="8"/>
  <c r="AC3" i="8"/>
  <c r="AB3" i="8"/>
  <c r="I23" i="5"/>
  <c r="J23" i="5" s="1"/>
  <c r="I106" i="5"/>
  <c r="AD4" i="8"/>
  <c r="AB4" i="8"/>
  <c r="AC4" i="8"/>
  <c r="I31" i="5"/>
  <c r="I68" i="5"/>
  <c r="AD5" i="8"/>
  <c r="AC5" i="8"/>
  <c r="AB5" i="8"/>
  <c r="I101" i="5"/>
  <c r="I47" i="5"/>
  <c r="AC6" i="8"/>
  <c r="AB6" i="8"/>
  <c r="AD6" i="8"/>
  <c r="I99" i="5"/>
  <c r="I46" i="5"/>
  <c r="AB7" i="8"/>
  <c r="AD7" i="8"/>
  <c r="AC7" i="8"/>
  <c r="I96" i="5"/>
  <c r="I44" i="5"/>
  <c r="AD8" i="8"/>
  <c r="AC8" i="8"/>
  <c r="AB8" i="8"/>
  <c r="I87" i="5"/>
  <c r="I19" i="5"/>
  <c r="J19" i="5" s="1"/>
  <c r="AD9" i="8"/>
  <c r="AC9" i="8"/>
  <c r="AB9" i="8"/>
  <c r="I35" i="5"/>
  <c r="I81" i="5"/>
  <c r="AD10" i="8"/>
  <c r="N6" i="4"/>
  <c r="AC10" i="8"/>
  <c r="AB10" i="8"/>
  <c r="BE10" i="8"/>
  <c r="N7" i="4"/>
  <c r="AD11" i="8"/>
  <c r="AC11" i="8"/>
  <c r="AB11" i="8"/>
  <c r="I64" i="5"/>
  <c r="I28" i="5"/>
  <c r="BF11" i="8"/>
  <c r="AC12" i="8"/>
  <c r="AD12" i="8"/>
  <c r="AB12" i="8"/>
  <c r="I93" i="5"/>
  <c r="I43" i="5"/>
  <c r="BF12" i="8"/>
  <c r="AC13" i="8"/>
  <c r="AB13" i="8"/>
  <c r="AD13" i="8"/>
  <c r="I92" i="5"/>
  <c r="I20" i="5"/>
  <c r="J20" i="5" s="1"/>
  <c r="BF13" i="8"/>
  <c r="AD14" i="8"/>
  <c r="AC14" i="8"/>
  <c r="AB14" i="8"/>
  <c r="I85" i="5"/>
  <c r="I11" i="5"/>
  <c r="J11" i="5" s="1"/>
  <c r="BF14" i="8"/>
  <c r="AB15" i="8"/>
  <c r="AC15" i="8"/>
  <c r="AD15" i="8"/>
  <c r="I90" i="5"/>
  <c r="I41" i="5"/>
  <c r="BF15" i="8"/>
  <c r="AB16" i="8"/>
  <c r="AC16" i="8"/>
  <c r="AD16" i="8"/>
  <c r="I74" i="5"/>
  <c r="I6" i="5"/>
  <c r="J6" i="5" s="1"/>
  <c r="AD17" i="8"/>
  <c r="AB17" i="8"/>
  <c r="AC17" i="8"/>
  <c r="I7" i="5"/>
  <c r="J7" i="5" s="1"/>
  <c r="I78" i="5"/>
  <c r="BF17" i="8"/>
  <c r="AD18" i="8"/>
  <c r="AC18" i="8"/>
  <c r="AB18" i="8"/>
  <c r="I77" i="5"/>
  <c r="I34" i="5"/>
  <c r="BF18" i="8"/>
  <c r="AD19" i="8"/>
  <c r="AC19" i="8"/>
  <c r="AB19" i="8"/>
  <c r="I108" i="5"/>
  <c r="I24" i="5"/>
  <c r="J24" i="5" s="1"/>
  <c r="BF19" i="8"/>
  <c r="AD20" i="8"/>
  <c r="AC20" i="8"/>
  <c r="AB20" i="8"/>
  <c r="I13" i="5"/>
  <c r="J13" i="5" s="1"/>
  <c r="I98" i="5"/>
  <c r="BF20" i="8"/>
  <c r="AD21" i="8"/>
  <c r="AB21" i="8"/>
  <c r="AC21" i="8"/>
  <c r="I36" i="5"/>
  <c r="I83" i="5"/>
  <c r="BF21" i="8"/>
  <c r="AB22" i="8"/>
  <c r="AD22" i="8"/>
  <c r="AC22" i="8"/>
  <c r="I22" i="5"/>
  <c r="J22" i="5" s="1"/>
  <c r="I100" i="5"/>
  <c r="BF22" i="8"/>
  <c r="AB23" i="8"/>
  <c r="AC23" i="8"/>
  <c r="AD23" i="8"/>
  <c r="I63" i="5"/>
  <c r="I27" i="5"/>
  <c r="BF23" i="8"/>
  <c r="AB24" i="8"/>
  <c r="AC24" i="8"/>
  <c r="AD24" i="8"/>
  <c r="I3" i="5"/>
  <c r="J3" i="5" s="1"/>
  <c r="I76" i="5"/>
  <c r="BF24" i="8"/>
  <c r="AC25" i="8"/>
  <c r="AB25" i="8"/>
  <c r="AD25" i="8"/>
  <c r="I97" i="5"/>
  <c r="I45" i="5"/>
  <c r="BF25" i="8"/>
  <c r="AB26" i="8"/>
  <c r="AC26" i="8"/>
  <c r="AD26" i="8"/>
  <c r="I18" i="5"/>
  <c r="J18" i="5" s="1"/>
  <c r="I73" i="5"/>
  <c r="BF26" i="8"/>
  <c r="AD27" i="8"/>
  <c r="AB27" i="8"/>
  <c r="AC27" i="8"/>
  <c r="I70" i="5"/>
  <c r="I16" i="5"/>
  <c r="J16" i="5" s="1"/>
  <c r="BF27" i="8"/>
  <c r="AB28" i="8"/>
  <c r="AD28" i="8"/>
  <c r="AC28" i="8"/>
  <c r="I30" i="5"/>
  <c r="I67" i="5"/>
  <c r="BF28" i="8"/>
  <c r="AB29" i="8"/>
  <c r="AD29" i="8"/>
  <c r="AC29" i="8"/>
  <c r="I103" i="5"/>
  <c r="I49" i="5"/>
  <c r="BF29" i="8"/>
  <c r="AD30" i="8"/>
  <c r="AC30" i="8"/>
  <c r="AB30" i="8"/>
  <c r="I105" i="5"/>
  <c r="I14" i="5"/>
  <c r="J14" i="5" s="1"/>
  <c r="BF30" i="8"/>
  <c r="AB31" i="8"/>
  <c r="AC31" i="8"/>
  <c r="AD31" i="8"/>
  <c r="I86" i="5"/>
  <c r="I38" i="5"/>
  <c r="BF31" i="8"/>
  <c r="AB32" i="8"/>
  <c r="AC32" i="8"/>
  <c r="AD32" i="8"/>
  <c r="I9" i="5"/>
  <c r="J9" i="5" s="1"/>
  <c r="I80" i="5"/>
  <c r="AC33" i="8"/>
  <c r="AD33" i="8"/>
  <c r="AB33" i="8"/>
  <c r="I79" i="5"/>
  <c r="I8" i="5"/>
  <c r="J8" i="5" s="1"/>
  <c r="AD34" i="8"/>
  <c r="AC34" i="8"/>
  <c r="AB34" i="8"/>
  <c r="I65" i="5"/>
  <c r="I4" i="5"/>
  <c r="J4" i="5" s="1"/>
  <c r="AD35" i="8"/>
  <c r="AC35" i="8"/>
  <c r="AB35" i="8"/>
  <c r="I75" i="5"/>
  <c r="I33" i="5"/>
  <c r="BF35" i="8"/>
  <c r="AD36" i="8"/>
  <c r="AC36" i="8"/>
  <c r="AB36" i="8"/>
  <c r="I110" i="5"/>
  <c r="I51" i="5"/>
  <c r="BF36" i="8"/>
  <c r="AB37" i="8"/>
  <c r="AC37" i="8"/>
  <c r="AD37" i="8"/>
  <c r="I25" i="5"/>
  <c r="J25" i="5" s="1"/>
  <c r="I109" i="5"/>
  <c r="BF37" i="8"/>
  <c r="AD38" i="8"/>
  <c r="AC38" i="8"/>
  <c r="AB38" i="8"/>
  <c r="I15" i="5"/>
  <c r="J15" i="5" s="1"/>
  <c r="I111" i="5"/>
  <c r="BF38" i="8"/>
  <c r="AD39" i="8"/>
  <c r="AC39" i="8"/>
  <c r="AB39" i="8"/>
  <c r="I12" i="5"/>
  <c r="J12" i="5" s="1"/>
  <c r="I94" i="5"/>
  <c r="AD40" i="8"/>
  <c r="AC40" i="8"/>
  <c r="AB40" i="8"/>
  <c r="I32" i="5"/>
  <c r="I69" i="5"/>
  <c r="BF40" i="8"/>
  <c r="AD41" i="8"/>
  <c r="AB41" i="8"/>
  <c r="AC41" i="8"/>
  <c r="I88" i="5"/>
  <c r="I39" i="5"/>
  <c r="BF41" i="8"/>
  <c r="AD42" i="8"/>
  <c r="AB42" i="8"/>
  <c r="AC42" i="8"/>
  <c r="I17" i="5"/>
  <c r="J17" i="5" s="1"/>
  <c r="BF42" i="8"/>
  <c r="I71" i="5"/>
  <c r="AC43" i="8"/>
  <c r="AB43" i="8"/>
  <c r="AD43" i="8"/>
  <c r="BF43" i="8"/>
  <c r="I72" i="5"/>
  <c r="I5" i="5"/>
  <c r="J5" i="5" s="1"/>
  <c r="AC44" i="8"/>
  <c r="AD44" i="8"/>
  <c r="AB44" i="8"/>
  <c r="I37" i="5"/>
  <c r="I84" i="5"/>
  <c r="BF44" i="8"/>
  <c r="AB45" i="8"/>
  <c r="AC45" i="8"/>
  <c r="AD45" i="8"/>
  <c r="I104" i="5"/>
  <c r="I52" i="5"/>
  <c r="J52" i="5" s="1"/>
  <c r="BF45" i="8"/>
  <c r="AD46" i="8"/>
  <c r="AC46" i="8"/>
  <c r="AB46" i="8"/>
  <c r="I102" i="5"/>
  <c r="I48" i="5"/>
  <c r="BF46" i="8"/>
  <c r="AD47" i="8"/>
  <c r="AC47" i="8"/>
  <c r="AB47" i="8"/>
  <c r="I91" i="5"/>
  <c r="I42" i="5"/>
  <c r="AC48" i="8"/>
  <c r="AB48" i="8"/>
  <c r="AD48" i="8"/>
  <c r="I29" i="5"/>
  <c r="I66" i="5"/>
  <c r="BF48" i="8"/>
  <c r="AD49" i="8"/>
  <c r="AB49" i="8"/>
  <c r="AC49" i="8"/>
  <c r="I89" i="5"/>
  <c r="I40" i="5"/>
  <c r="BF49" i="8"/>
  <c r="AC50" i="8"/>
  <c r="AB50" i="8"/>
  <c r="AD50" i="8"/>
  <c r="I62" i="5"/>
  <c r="BF50" i="8"/>
  <c r="I26" i="5"/>
  <c r="AB51" i="8"/>
  <c r="AC51" i="8"/>
  <c r="AD51" i="8"/>
  <c r="I95" i="5"/>
  <c r="BF51" i="8"/>
  <c r="I21" i="5"/>
  <c r="J21" i="5" s="1"/>
  <c r="AD52" i="8"/>
  <c r="AC52" i="8"/>
  <c r="AB52" i="8"/>
  <c r="I82" i="5"/>
  <c r="I10" i="5"/>
  <c r="J10" i="5" s="1"/>
  <c r="BF52" i="8"/>
  <c r="N6" i="3"/>
  <c r="AD53" i="8"/>
  <c r="AC53" i="8"/>
  <c r="AB53" i="8"/>
  <c r="N8" i="3"/>
  <c r="BE53" i="8"/>
  <c r="D42" i="5"/>
  <c r="H42" i="5"/>
  <c r="D48" i="5"/>
  <c r="H48" i="5"/>
  <c r="H14" i="5"/>
  <c r="D14" i="5"/>
  <c r="H13" i="5"/>
  <c r="D26" i="5"/>
  <c r="D22" i="5"/>
  <c r="D3" i="5"/>
  <c r="M3" i="279"/>
  <c r="L3" i="279"/>
  <c r="L4" i="279"/>
  <c r="M4" i="279"/>
  <c r="M5" i="279"/>
  <c r="L5" i="279"/>
  <c r="L7" i="279"/>
  <c r="M7" i="279"/>
  <c r="L8" i="279"/>
  <c r="M8" i="279"/>
  <c r="M9" i="279"/>
  <c r="L9" i="279"/>
  <c r="M11" i="279"/>
  <c r="L11" i="279"/>
  <c r="M12" i="279"/>
  <c r="L12" i="279"/>
  <c r="M13" i="279"/>
  <c r="L13" i="279"/>
  <c r="L14" i="279"/>
  <c r="M14" i="279"/>
  <c r="L15" i="279"/>
  <c r="M15" i="279"/>
  <c r="L16" i="279"/>
  <c r="M16" i="279"/>
  <c r="M17" i="279"/>
  <c r="L17" i="279"/>
  <c r="M18" i="279"/>
  <c r="L18" i="279"/>
  <c r="M19" i="279"/>
  <c r="L19" i="279"/>
  <c r="M20" i="279"/>
  <c r="L20" i="279"/>
  <c r="M21" i="279"/>
  <c r="L21" i="279"/>
  <c r="M22" i="279"/>
  <c r="L22" i="279"/>
  <c r="L23" i="279"/>
  <c r="M23" i="279"/>
  <c r="L24" i="279"/>
  <c r="M24" i="279"/>
  <c r="M26" i="279"/>
  <c r="L26" i="279"/>
  <c r="K25" i="279"/>
  <c r="K46" i="34"/>
  <c r="K6" i="279"/>
  <c r="P53" i="279"/>
  <c r="Y9" i="3" s="1"/>
  <c r="N10" i="3" s="1"/>
  <c r="T2" i="3" s="1"/>
  <c r="X2" i="3" s="1"/>
  <c r="K10" i="279"/>
  <c r="BF33" i="8" l="1"/>
  <c r="BF34" i="8"/>
  <c r="BF39" i="8"/>
  <c r="BF47" i="8"/>
  <c r="D18" i="5"/>
  <c r="D17" i="5"/>
  <c r="D21" i="5"/>
  <c r="D25" i="5"/>
  <c r="D16" i="5"/>
  <c r="D19" i="5"/>
  <c r="H25" i="5"/>
  <c r="H17" i="5"/>
  <c r="H22" i="5"/>
  <c r="H24" i="5"/>
  <c r="H16" i="5"/>
  <c r="H18" i="5"/>
  <c r="H21" i="5"/>
  <c r="H19" i="5"/>
  <c r="D30" i="5"/>
  <c r="D33" i="5"/>
  <c r="D32" i="5"/>
  <c r="D29" i="5"/>
  <c r="D27" i="5"/>
  <c r="D28" i="5"/>
  <c r="D109" i="5"/>
  <c r="D83" i="5"/>
  <c r="D67" i="5"/>
  <c r="D110" i="5"/>
  <c r="D80" i="5"/>
  <c r="D73" i="5"/>
  <c r="D70" i="5"/>
  <c r="D66" i="5"/>
  <c r="D84" i="5"/>
  <c r="D76" i="5"/>
  <c r="D72" i="5"/>
  <c r="D111" i="5"/>
  <c r="D88" i="5"/>
  <c r="D82" i="5"/>
  <c r="D75" i="5"/>
  <c r="D71" i="5"/>
  <c r="D86" i="5"/>
  <c r="D79" i="5"/>
  <c r="D69" i="5"/>
  <c r="D65" i="5"/>
  <c r="D63" i="5"/>
  <c r="D64" i="5"/>
  <c r="D62" i="5"/>
  <c r="H33" i="5"/>
  <c r="H27" i="5"/>
  <c r="H26" i="5"/>
  <c r="H30" i="5"/>
  <c r="H32" i="5"/>
  <c r="H29" i="5"/>
  <c r="H28" i="5"/>
  <c r="H73" i="5"/>
  <c r="H70" i="5"/>
  <c r="H65" i="5"/>
  <c r="H88" i="5"/>
  <c r="H83" i="5"/>
  <c r="H66" i="5"/>
  <c r="H111" i="5"/>
  <c r="H80" i="5"/>
  <c r="H67" i="5"/>
  <c r="H63" i="5"/>
  <c r="H84" i="5"/>
  <c r="H76" i="5"/>
  <c r="H62" i="5"/>
  <c r="H109" i="5"/>
  <c r="H71" i="5"/>
  <c r="H110" i="5"/>
  <c r="H86" i="5"/>
  <c r="H82" i="5"/>
  <c r="H79" i="5"/>
  <c r="H75" i="5"/>
  <c r="H72" i="5"/>
  <c r="H69" i="5"/>
  <c r="H64" i="5"/>
  <c r="H108" i="5"/>
  <c r="D15" i="5"/>
  <c r="D10" i="5"/>
  <c r="D13" i="5"/>
  <c r="D9" i="5"/>
  <c r="D4" i="5"/>
  <c r="D12" i="5"/>
  <c r="D5" i="5"/>
  <c r="D8" i="5"/>
  <c r="D6" i="5"/>
  <c r="H10" i="5"/>
  <c r="H15" i="5"/>
  <c r="H4" i="5"/>
  <c r="H12" i="5"/>
  <c r="H9" i="5"/>
  <c r="H5" i="5"/>
  <c r="H6" i="5"/>
  <c r="H8" i="5"/>
  <c r="M19" i="34"/>
  <c r="L19" i="34"/>
  <c r="E23" i="5"/>
  <c r="F23" i="5" s="1"/>
  <c r="E106" i="5"/>
  <c r="AE3" i="8"/>
  <c r="E68" i="5"/>
  <c r="E31" i="5"/>
  <c r="F31" i="5" s="1"/>
  <c r="AE4" i="8"/>
  <c r="AE5" i="8"/>
  <c r="E101" i="5"/>
  <c r="E47" i="5"/>
  <c r="F47" i="5" s="1"/>
  <c r="E99" i="5"/>
  <c r="E46" i="5"/>
  <c r="F46" i="5" s="1"/>
  <c r="AE6" i="8"/>
  <c r="AE7" i="8"/>
  <c r="E96" i="5"/>
  <c r="E44" i="5"/>
  <c r="F44" i="5" s="1"/>
  <c r="E19" i="5"/>
  <c r="F19" i="5" s="1"/>
  <c r="E87" i="5"/>
  <c r="AE8" i="8"/>
  <c r="E35" i="5"/>
  <c r="F35" i="5" s="1"/>
  <c r="E81" i="5"/>
  <c r="AE9" i="8"/>
  <c r="E107" i="5"/>
  <c r="E50" i="5"/>
  <c r="F50" i="5" s="1"/>
  <c r="AE10" i="8"/>
  <c r="X2" i="4" s="1"/>
  <c r="I107" i="5"/>
  <c r="I50" i="5"/>
  <c r="BF10" i="8"/>
  <c r="X3" i="4" s="1"/>
  <c r="E64" i="5"/>
  <c r="E28" i="5"/>
  <c r="F28" i="5" s="1"/>
  <c r="AE11" i="8"/>
  <c r="E93" i="5"/>
  <c r="E43" i="5"/>
  <c r="F43" i="5" s="1"/>
  <c r="AE12" i="8"/>
  <c r="E92" i="5"/>
  <c r="E20" i="5"/>
  <c r="F20" i="5" s="1"/>
  <c r="AE13" i="8"/>
  <c r="E85" i="5"/>
  <c r="E11" i="5"/>
  <c r="F11" i="5" s="1"/>
  <c r="AE14" i="8"/>
  <c r="E90" i="5"/>
  <c r="E41" i="5"/>
  <c r="F41" i="5" s="1"/>
  <c r="AE15" i="8"/>
  <c r="E74" i="5"/>
  <c r="E6" i="5"/>
  <c r="F6" i="5" s="1"/>
  <c r="AE16" i="8"/>
  <c r="E7" i="5"/>
  <c r="F7" i="5" s="1"/>
  <c r="E78" i="5"/>
  <c r="AE17" i="8"/>
  <c r="E77" i="5"/>
  <c r="E34" i="5"/>
  <c r="F34" i="5" s="1"/>
  <c r="AE18" i="8"/>
  <c r="E108" i="5"/>
  <c r="E24" i="5"/>
  <c r="F24" i="5" s="1"/>
  <c r="AE19" i="8"/>
  <c r="E98" i="5"/>
  <c r="E13" i="5"/>
  <c r="F13" i="5" s="1"/>
  <c r="AE20" i="8"/>
  <c r="E83" i="5"/>
  <c r="E36" i="5"/>
  <c r="F36" i="5" s="1"/>
  <c r="AE21" i="8"/>
  <c r="E100" i="5"/>
  <c r="E22" i="5"/>
  <c r="F22" i="5" s="1"/>
  <c r="AE22" i="8"/>
  <c r="E63" i="5"/>
  <c r="E27" i="5"/>
  <c r="F27" i="5" s="1"/>
  <c r="AE23" i="8"/>
  <c r="E3" i="5"/>
  <c r="F3" i="5" s="1"/>
  <c r="E76" i="5"/>
  <c r="AE24" i="8"/>
  <c r="E97" i="5"/>
  <c r="E45" i="5"/>
  <c r="F45" i="5" s="1"/>
  <c r="AE25" i="8"/>
  <c r="E73" i="5"/>
  <c r="E18" i="5"/>
  <c r="F18" i="5" s="1"/>
  <c r="AE26" i="8"/>
  <c r="E70" i="5"/>
  <c r="E16" i="5"/>
  <c r="F16" i="5" s="1"/>
  <c r="AE27" i="8"/>
  <c r="E30" i="5"/>
  <c r="F30" i="5" s="1"/>
  <c r="E67" i="5"/>
  <c r="AE28" i="8"/>
  <c r="E103" i="5"/>
  <c r="E49" i="5"/>
  <c r="F49" i="5" s="1"/>
  <c r="AE29" i="8"/>
  <c r="E105" i="5"/>
  <c r="E14" i="5"/>
  <c r="F14" i="5" s="1"/>
  <c r="AE30" i="8"/>
  <c r="E38" i="5"/>
  <c r="F38" i="5" s="1"/>
  <c r="E86" i="5"/>
  <c r="AE31" i="8"/>
  <c r="E80" i="5"/>
  <c r="E9" i="5"/>
  <c r="F9" i="5" s="1"/>
  <c r="AE32" i="8"/>
  <c r="E79" i="5"/>
  <c r="E8" i="5"/>
  <c r="F8" i="5" s="1"/>
  <c r="AE33" i="8"/>
  <c r="E65" i="5"/>
  <c r="E4" i="5"/>
  <c r="F4" i="5" s="1"/>
  <c r="AE34" i="8"/>
  <c r="E33" i="5"/>
  <c r="F33" i="5" s="1"/>
  <c r="E75" i="5"/>
  <c r="AE35" i="8"/>
  <c r="E51" i="5"/>
  <c r="F51" i="5" s="1"/>
  <c r="E110" i="5"/>
  <c r="AE36" i="8"/>
  <c r="E25" i="5"/>
  <c r="F25" i="5" s="1"/>
  <c r="E109" i="5"/>
  <c r="AE37" i="8"/>
  <c r="E15" i="5"/>
  <c r="F15" i="5" s="1"/>
  <c r="E111" i="5"/>
  <c r="AE38" i="8"/>
  <c r="E12" i="5"/>
  <c r="F12" i="5" s="1"/>
  <c r="E94" i="5"/>
  <c r="AE39" i="8"/>
  <c r="E32" i="5"/>
  <c r="F32" i="5" s="1"/>
  <c r="E69" i="5"/>
  <c r="AE40" i="8"/>
  <c r="E88" i="5"/>
  <c r="E39" i="5"/>
  <c r="F39" i="5" s="1"/>
  <c r="AE41" i="8"/>
  <c r="E71" i="5"/>
  <c r="E17" i="5"/>
  <c r="F17" i="5" s="1"/>
  <c r="AE42" i="8"/>
  <c r="E5" i="5"/>
  <c r="F5" i="5" s="1"/>
  <c r="AE43" i="8"/>
  <c r="E72" i="5"/>
  <c r="E84" i="5"/>
  <c r="E37" i="5"/>
  <c r="F37" i="5" s="1"/>
  <c r="AE44" i="8"/>
  <c r="E104" i="5"/>
  <c r="E52" i="5"/>
  <c r="F52" i="5" s="1"/>
  <c r="AE45" i="8"/>
  <c r="E102" i="5"/>
  <c r="E48" i="5"/>
  <c r="F48" i="5" s="1"/>
  <c r="AE46" i="8"/>
  <c r="E91" i="5"/>
  <c r="E42" i="5"/>
  <c r="F42" i="5" s="1"/>
  <c r="AE47" i="8"/>
  <c r="E29" i="5"/>
  <c r="F29" i="5" s="1"/>
  <c r="E66" i="5"/>
  <c r="AE48" i="8"/>
  <c r="E89" i="5"/>
  <c r="E40" i="5"/>
  <c r="F40" i="5" s="1"/>
  <c r="AE49" i="8"/>
  <c r="E26" i="5"/>
  <c r="F26" i="5" s="1"/>
  <c r="E62" i="5"/>
  <c r="AE50" i="8"/>
  <c r="AE51" i="8"/>
  <c r="E21" i="5"/>
  <c r="F21" i="5" s="1"/>
  <c r="E95" i="5"/>
  <c r="E82" i="5"/>
  <c r="E10" i="5"/>
  <c r="F10" i="5" s="1"/>
  <c r="AE52" i="8"/>
  <c r="M25" i="279"/>
  <c r="L25" i="279"/>
  <c r="L46" i="34"/>
  <c r="M46" i="34"/>
  <c r="L6" i="279"/>
  <c r="M6" i="279"/>
  <c r="L10" i="279"/>
  <c r="M10" i="279"/>
  <c r="D106" i="5"/>
  <c r="H106" i="5"/>
  <c r="D68" i="5"/>
  <c r="H68" i="5"/>
  <c r="D101" i="5"/>
  <c r="H101" i="5"/>
  <c r="D99" i="5"/>
  <c r="H99" i="5"/>
  <c r="D96" i="5"/>
  <c r="H96" i="5"/>
  <c r="D87" i="5"/>
  <c r="H87" i="5"/>
  <c r="D81" i="5"/>
  <c r="H81" i="5"/>
  <c r="D107" i="5"/>
  <c r="H107" i="5"/>
  <c r="D104" i="5"/>
  <c r="H102" i="5"/>
  <c r="J70" i="5"/>
  <c r="J102" i="5"/>
  <c r="J62" i="5"/>
  <c r="D93" i="5"/>
  <c r="H93" i="5"/>
  <c r="D92" i="5"/>
  <c r="H92" i="5"/>
  <c r="D85" i="5"/>
  <c r="H85" i="5"/>
  <c r="D90" i="5"/>
  <c r="H90" i="5"/>
  <c r="H78" i="5"/>
  <c r="D77" i="5"/>
  <c r="H77" i="5"/>
  <c r="D108" i="5"/>
  <c r="D98" i="5"/>
  <c r="H98" i="5"/>
  <c r="H97" i="5"/>
  <c r="H105" i="5"/>
  <c r="D94" i="5"/>
  <c r="H91" i="5"/>
  <c r="H89" i="5"/>
  <c r="J101" i="5"/>
  <c r="J96" i="5"/>
  <c r="J92" i="5"/>
  <c r="J83" i="5"/>
  <c r="J76" i="5"/>
  <c r="J67" i="5"/>
  <c r="J80" i="5"/>
  <c r="J84" i="5"/>
  <c r="D74" i="5"/>
  <c r="H74" i="5"/>
  <c r="D78" i="5"/>
  <c r="D103" i="5"/>
  <c r="D105" i="5"/>
  <c r="D91" i="5"/>
  <c r="J99" i="5"/>
  <c r="J105" i="5"/>
  <c r="J65" i="5"/>
  <c r="J89" i="5"/>
  <c r="D100" i="5"/>
  <c r="H100" i="5"/>
  <c r="D97" i="5"/>
  <c r="H103" i="5"/>
  <c r="H104" i="5"/>
  <c r="J87" i="5"/>
  <c r="J81" i="5"/>
  <c r="J93" i="5"/>
  <c r="J73" i="5"/>
  <c r="J79" i="5"/>
  <c r="J75" i="5"/>
  <c r="J71" i="5"/>
  <c r="J104" i="5"/>
  <c r="J91" i="5"/>
  <c r="H94" i="5"/>
  <c r="D102" i="5"/>
  <c r="J68" i="5"/>
  <c r="J90" i="5"/>
  <c r="J98" i="5"/>
  <c r="J63" i="5"/>
  <c r="J103" i="5"/>
  <c r="J110" i="5"/>
  <c r="J111" i="5"/>
  <c r="J69" i="5"/>
  <c r="J95" i="5"/>
  <c r="J64" i="5"/>
  <c r="J109" i="5"/>
  <c r="J86" i="5"/>
  <c r="J94" i="5"/>
  <c r="J72" i="5"/>
  <c r="J74" i="5"/>
  <c r="J78" i="5"/>
  <c r="J77" i="5"/>
  <c r="J108" i="5"/>
  <c r="J97" i="5"/>
  <c r="J88" i="5"/>
  <c r="J66" i="5"/>
  <c r="BF3" i="8"/>
  <c r="BF6" i="8"/>
  <c r="BF9" i="8"/>
  <c r="BF4" i="8"/>
  <c r="BF5" i="8"/>
  <c r="BF7" i="8"/>
  <c r="BF8" i="8"/>
  <c r="BF16" i="8"/>
  <c r="F68" i="5" l="1"/>
  <c r="J106" i="5"/>
  <c r="J85" i="5"/>
  <c r="J100" i="5"/>
  <c r="J82" i="5"/>
  <c r="J107" i="5"/>
  <c r="J26" i="5"/>
  <c r="J51" i="5"/>
  <c r="J38" i="5"/>
  <c r="J27" i="5"/>
  <c r="J41" i="5"/>
  <c r="J48" i="5"/>
  <c r="J45" i="5"/>
  <c r="J46" i="5"/>
  <c r="J30" i="5"/>
  <c r="J34" i="5"/>
  <c r="J47" i="5"/>
  <c r="J32" i="5"/>
  <c r="J36" i="5"/>
  <c r="J40" i="5"/>
  <c r="J42" i="5"/>
  <c r="J39" i="5"/>
  <c r="J33" i="5"/>
  <c r="J29" i="5"/>
  <c r="J37" i="5"/>
  <c r="J49" i="5"/>
  <c r="J43" i="5"/>
  <c r="J28" i="5"/>
  <c r="J35" i="5"/>
  <c r="J44" i="5"/>
  <c r="J31" i="5"/>
  <c r="J50" i="5"/>
  <c r="F106" i="5"/>
  <c r="F101" i="5"/>
  <c r="F99" i="5"/>
  <c r="F96" i="5"/>
  <c r="F87" i="5"/>
  <c r="F81" i="5"/>
  <c r="F107" i="5"/>
  <c r="F93" i="5"/>
  <c r="F92" i="5"/>
  <c r="F90" i="5"/>
  <c r="F74" i="5"/>
  <c r="F71" i="5"/>
  <c r="F102" i="5"/>
  <c r="F64" i="5"/>
  <c r="F85" i="5"/>
  <c r="F91" i="5"/>
  <c r="F78" i="5"/>
  <c r="F77" i="5"/>
  <c r="F108" i="5"/>
  <c r="F98" i="5"/>
  <c r="F83" i="5"/>
  <c r="F100" i="5"/>
  <c r="F70" i="5"/>
  <c r="F67" i="5"/>
  <c r="F103" i="5"/>
  <c r="F69" i="5"/>
  <c r="F88" i="5"/>
  <c r="F66" i="5"/>
  <c r="F95" i="5"/>
  <c r="F63" i="5"/>
  <c r="F76" i="5"/>
  <c r="F97" i="5"/>
  <c r="F73" i="5"/>
  <c r="F110" i="5"/>
  <c r="F109" i="5"/>
  <c r="F111" i="5"/>
  <c r="F94" i="5"/>
  <c r="F104" i="5"/>
  <c r="F89" i="5"/>
  <c r="F105" i="5"/>
  <c r="F86" i="5"/>
  <c r="F80" i="5"/>
  <c r="F79" i="5"/>
  <c r="F65" i="5"/>
  <c r="F75" i="5"/>
  <c r="F62" i="5"/>
  <c r="F72" i="5"/>
  <c r="F84" i="5"/>
  <c r="F8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EF25E860-4A45-4841-812E-6F1DC3BDD375}">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4E7EAA10-F6C3-41CD-8659-398402CE77E6}">
      <text>
        <r>
          <rPr>
            <b/>
            <sz val="8"/>
            <color indexed="81"/>
            <rFont val="Tahoma"/>
            <family val="2"/>
          </rPr>
          <t>Total Grants for all years listed in LOCCS</t>
        </r>
        <r>
          <rPr>
            <sz val="8"/>
            <color indexed="81"/>
            <rFont val="Tahoma"/>
            <family val="2"/>
          </rPr>
          <t xml:space="preserve">
</t>
        </r>
      </text>
    </comment>
    <comment ref="C2" authorId="0" shapeId="0" xr:uid="{3967DE02-15E1-48AF-9CE4-E39FD0B5D20F}">
      <text>
        <r>
          <rPr>
            <b/>
            <sz val="8"/>
            <color indexed="81"/>
            <rFont val="Tahoma"/>
            <family val="2"/>
          </rPr>
          <t>Total expenditures for all grant years recorded in LOCCS</t>
        </r>
        <r>
          <rPr>
            <sz val="8"/>
            <color indexed="81"/>
            <rFont val="Tahoma"/>
            <family val="2"/>
          </rPr>
          <t xml:space="preserve">
</t>
        </r>
      </text>
    </comment>
    <comment ref="D2" authorId="0" shapeId="0" xr:uid="{2193FBC4-AE1D-402B-B228-5DD4732AC040}">
      <text>
        <r>
          <rPr>
            <b/>
            <sz val="8"/>
            <color indexed="81"/>
            <rFont val="Tahoma"/>
            <family val="2"/>
          </rPr>
          <t>Column B minus Column C
Calculated from LOCCS data (all grants less all expenditures)</t>
        </r>
      </text>
    </comment>
    <comment ref="E2" authorId="0" shapeId="0" xr:uid="{AF77D4C5-9A31-4D14-91C5-1DC5A6A76A38}">
      <text>
        <r>
          <rPr>
            <b/>
            <sz val="8"/>
            <color indexed="81"/>
            <rFont val="Tahoma"/>
            <family val="2"/>
          </rPr>
          <t>Total of previous 12 months expenditures recorded in LOCCS</t>
        </r>
      </text>
    </comment>
    <comment ref="F2" authorId="0" shapeId="0" xr:uid="{BDAD5D2F-1A27-4167-A1F2-0B3B2E4349C8}">
      <text>
        <r>
          <rPr>
            <b/>
            <sz val="8"/>
            <color indexed="81"/>
            <rFont val="Tahoma"/>
            <family val="2"/>
          </rPr>
          <t xml:space="preserve">
As shown in LOCCS</t>
        </r>
      </text>
    </comment>
    <comment ref="G2" authorId="0" shapeId="0" xr:uid="{043CCA1E-78F4-4594-8FFC-21904AACC3FE}">
      <text>
        <r>
          <rPr>
            <b/>
            <sz val="8"/>
            <color indexed="81"/>
            <rFont val="Tahoma"/>
            <family val="2"/>
          </rPr>
          <t>Column D divided by Column F
Indicates # of years of funds available in terms of latest grant amt.</t>
        </r>
      </text>
    </comment>
    <comment ref="H2" authorId="0" shapeId="0" xr:uid="{DD5A2E13-187F-43DD-9E2E-1EEA64FD46C8}">
      <text>
        <r>
          <rPr>
            <b/>
            <sz val="8"/>
            <color indexed="81"/>
            <rFont val="Tahoma"/>
            <family val="2"/>
          </rPr>
          <t>Column E divided by Column F
This draw-down rate should be 1 or more to avoid increasing balances.</t>
        </r>
      </text>
    </comment>
    <comment ref="I2" authorId="0" shapeId="0" xr:uid="{326277F0-F6F6-4989-BCA6-3836D20390C9}">
      <text>
        <r>
          <rPr>
            <b/>
            <sz val="8"/>
            <color indexed="81"/>
            <rFont val="Tahoma"/>
            <family val="2"/>
          </rPr>
          <t>Column E divided by 12
Indicates average dollar amount spent each of the last 12 months.</t>
        </r>
      </text>
    </comment>
    <comment ref="J2" authorId="0" shapeId="0" xr:uid="{9E53B70B-63AB-418C-93D6-B180FCB6D260}">
      <text>
        <r>
          <rPr>
            <b/>
            <sz val="8"/>
            <color indexed="81"/>
            <rFont val="Tahoma"/>
            <family val="2"/>
          </rPr>
          <t>Indicates the number of months remaining until 60 days before end of current Program Year.</t>
        </r>
      </text>
    </comment>
    <comment ref="K2" authorId="0" shapeId="0" xr:uid="{A06E14C0-34DC-4117-A5AE-81B10399F0E3}">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699C6FD9-7340-4099-9544-4FE1362D03E9}">
      <text>
        <r>
          <rPr>
            <b/>
            <sz val="8"/>
            <color indexed="81"/>
            <rFont val="Tahoma"/>
            <family val="2"/>
          </rPr>
          <t>Monthly expenditure in dollars required to reduce unexpended balance to 2 times most recent grant amount by 60 days prior to end of current Program Year.</t>
        </r>
      </text>
    </comment>
    <comment ref="M2" authorId="0" shapeId="0" xr:uid="{08D01909-8DA5-405F-A4EC-6FA51332A0CD}">
      <text>
        <r>
          <rPr>
            <b/>
            <sz val="8"/>
            <color indexed="81"/>
            <rFont val="Tahoma"/>
            <family val="2"/>
          </rPr>
          <t>Monthly expenditure in dollars required to reduce unexpended balance to 2.5 times most recent grant amount by 60 days prior to end of current Program Year.</t>
        </r>
      </text>
    </comment>
    <comment ref="N2" authorId="0" shapeId="0" xr:uid="{58493929-0305-4362-AFE6-7C7E55B7BB17}">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17316C8C-6D88-46CB-B971-DCF2FCC6675E}">
      <text>
        <r>
          <rPr>
            <b/>
            <sz val="8"/>
            <color indexed="81"/>
            <rFont val="Tahoma"/>
            <family val="2"/>
          </rPr>
          <t xml:space="preserve">Starting date for the State's current Program Year
</t>
        </r>
      </text>
    </comment>
    <comment ref="P2" authorId="0" shapeId="0" xr:uid="{A45FFE3C-B8D4-4229-BEA3-A0BCFDD483DD}">
      <text>
        <r>
          <rPr>
            <b/>
            <sz val="8"/>
            <color indexed="81"/>
            <rFont val="Tahoma"/>
            <family val="2"/>
          </rPr>
          <t>Column C minus prior month's Column C
Calculated from LOCCS data (all expenditures less all expenditures thru prior month)</t>
        </r>
      </text>
    </comment>
    <comment ref="Q2" authorId="0" shapeId="0" xr:uid="{937C3FC0-2F0E-450B-B614-36FECEEF0600}">
      <text>
        <r>
          <rPr>
            <b/>
            <sz val="8"/>
            <color indexed="81"/>
            <rFont val="Tahoma"/>
            <family val="2"/>
          </rPr>
          <t>Month when the most recent grant amount changed in LOCCS.  If change occurred outside range, cell indicates "over 18 months ago".</t>
        </r>
      </text>
    </comment>
    <comment ref="N6" authorId="1" shapeId="0" xr:uid="{382CB04C-3471-44C8-8E0F-9490D3DC29B3}">
      <text>
        <r>
          <rPr>
            <sz val="8"/>
            <color indexed="81"/>
            <rFont val="Tahoma"/>
            <family val="2"/>
          </rPr>
          <t xml:space="preserve">State changed PY start to July 1 for 2010 PY. 
PY 2009 extended to 18 months (1 Jan '09 - 30 Jun '10).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214066AC-2AAA-4695-8CBA-2D5DA99D61B4}">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ECD5022B-A059-4890-B8BE-D4A7CC6E84B1}">
      <text>
        <r>
          <rPr>
            <b/>
            <sz val="8"/>
            <color indexed="81"/>
            <rFont val="Tahoma"/>
            <family val="2"/>
          </rPr>
          <t>Total Grants for all years listed in LOCCS</t>
        </r>
        <r>
          <rPr>
            <sz val="8"/>
            <color indexed="81"/>
            <rFont val="Tahoma"/>
            <family val="2"/>
          </rPr>
          <t xml:space="preserve">
</t>
        </r>
      </text>
    </comment>
    <comment ref="C2" authorId="0" shapeId="0" xr:uid="{334FE2AD-D024-4E05-8FE2-4A88E42CA47C}">
      <text>
        <r>
          <rPr>
            <b/>
            <sz val="8"/>
            <color indexed="81"/>
            <rFont val="Tahoma"/>
            <family val="2"/>
          </rPr>
          <t>Total expenditures for all grant years recorded in LOCCS</t>
        </r>
        <r>
          <rPr>
            <sz val="8"/>
            <color indexed="81"/>
            <rFont val="Tahoma"/>
            <family val="2"/>
          </rPr>
          <t xml:space="preserve">
</t>
        </r>
      </text>
    </comment>
    <comment ref="D2" authorId="0" shapeId="0" xr:uid="{FFEAA26F-A675-4D24-8894-D1CAF5B1ECD6}">
      <text>
        <r>
          <rPr>
            <b/>
            <sz val="8"/>
            <color indexed="81"/>
            <rFont val="Tahoma"/>
            <family val="2"/>
          </rPr>
          <t>Column B minus Column C
Calculated from LOCCS data (all grants less all expenditures)</t>
        </r>
      </text>
    </comment>
    <comment ref="E2" authorId="0" shapeId="0" xr:uid="{139503C6-05AD-4244-B8F9-65CB1A1F8D87}">
      <text>
        <r>
          <rPr>
            <b/>
            <sz val="8"/>
            <color indexed="81"/>
            <rFont val="Tahoma"/>
            <family val="2"/>
          </rPr>
          <t>Total of previous 12 months expenditures recorded in LOCCS</t>
        </r>
      </text>
    </comment>
    <comment ref="F2" authorId="0" shapeId="0" xr:uid="{55810151-169F-449D-8308-46AD2A198FBB}">
      <text>
        <r>
          <rPr>
            <b/>
            <sz val="8"/>
            <color indexed="81"/>
            <rFont val="Tahoma"/>
            <family val="2"/>
          </rPr>
          <t xml:space="preserve">
As shown in LOCCS</t>
        </r>
      </text>
    </comment>
    <comment ref="G2" authorId="0" shapeId="0" xr:uid="{CD63D558-FDFE-4E42-82B8-5F48EEE5B8FB}">
      <text>
        <r>
          <rPr>
            <b/>
            <sz val="8"/>
            <color indexed="81"/>
            <rFont val="Tahoma"/>
            <family val="2"/>
          </rPr>
          <t>Column D divided by Column F
Indicates # of years of funds available in terms of latest grant amt.</t>
        </r>
      </text>
    </comment>
    <comment ref="H2" authorId="0" shapeId="0" xr:uid="{FEBA4F6D-1E6A-4B86-BBBB-4F5BDD639E6E}">
      <text>
        <r>
          <rPr>
            <b/>
            <sz val="8"/>
            <color indexed="81"/>
            <rFont val="Tahoma"/>
            <family val="2"/>
          </rPr>
          <t>Column E divided by Column F
This draw-down rate should be 1 or more to avoid increasing balances.</t>
        </r>
      </text>
    </comment>
    <comment ref="I2" authorId="0" shapeId="0" xr:uid="{282496EB-8D5C-4196-A5C1-13EAD7C708F7}">
      <text>
        <r>
          <rPr>
            <b/>
            <sz val="8"/>
            <color indexed="81"/>
            <rFont val="Tahoma"/>
            <family val="2"/>
          </rPr>
          <t>Column E divided by 12
Indicates average dollar amount spent each of the last 12 months.</t>
        </r>
      </text>
    </comment>
    <comment ref="J2" authorId="0" shapeId="0" xr:uid="{71A2C62F-A144-432F-86AE-0F56EF5A39F4}">
      <text>
        <r>
          <rPr>
            <b/>
            <sz val="8"/>
            <color indexed="81"/>
            <rFont val="Tahoma"/>
            <family val="2"/>
          </rPr>
          <t>Indicates the number of months remaining until 60 days before end of current Program Year.</t>
        </r>
      </text>
    </comment>
    <comment ref="K2" authorId="0" shapeId="0" xr:uid="{5671017B-E142-454B-9D69-E19A874D8F75}">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571DF694-6B5A-4D04-8B27-55B188592A2C}">
      <text>
        <r>
          <rPr>
            <b/>
            <sz val="8"/>
            <color indexed="81"/>
            <rFont val="Tahoma"/>
            <family val="2"/>
          </rPr>
          <t>Monthly expenditure in dollars required to reduce unexpended balance to 2 times most recent grant amount by 60 days prior to end of current Program Year.</t>
        </r>
      </text>
    </comment>
    <comment ref="M2" authorId="0" shapeId="0" xr:uid="{3E32A5B7-50DD-4927-96EE-EC587689118D}">
      <text>
        <r>
          <rPr>
            <b/>
            <sz val="8"/>
            <color indexed="81"/>
            <rFont val="Tahoma"/>
            <family val="2"/>
          </rPr>
          <t>Monthly expenditure in dollars required to reduce unexpended balance to 2.5 times most recent grant amount by 60 days prior to end of current Program Year.</t>
        </r>
      </text>
    </comment>
    <comment ref="N2" authorId="0" shapeId="0" xr:uid="{A0DEC6A0-3B24-4183-BE5B-5F054759E3EE}">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5C349671-B1F5-4656-8577-0FA0207F2F8A}">
      <text>
        <r>
          <rPr>
            <b/>
            <sz val="8"/>
            <color indexed="81"/>
            <rFont val="Tahoma"/>
            <family val="2"/>
          </rPr>
          <t xml:space="preserve">Starting date for the State's current Program Year
</t>
        </r>
      </text>
    </comment>
    <comment ref="P2" authorId="0" shapeId="0" xr:uid="{AB8DFDB8-04F4-44C2-8E7F-C388B64CD6B4}">
      <text>
        <r>
          <rPr>
            <b/>
            <sz val="8"/>
            <color indexed="81"/>
            <rFont val="Tahoma"/>
            <family val="2"/>
          </rPr>
          <t>Column C minus prior month's Column C
Calculated from LOCCS data (all expenditures less all expenditures thru prior month)</t>
        </r>
      </text>
    </comment>
    <comment ref="Q2" authorId="0" shapeId="0" xr:uid="{FF0C6CBD-D1D9-4F13-894F-1E93DBD42905}">
      <text>
        <r>
          <rPr>
            <b/>
            <sz val="8"/>
            <color indexed="81"/>
            <rFont val="Tahoma"/>
            <family val="2"/>
          </rPr>
          <t>Month when the most recent grant amount changed in LOCCS.  If change occurred outside range, cell indicates "over 18 months ago".</t>
        </r>
      </text>
    </comment>
    <comment ref="N6" authorId="1" shapeId="0" xr:uid="{3FCA7760-946F-423A-8C83-7D0A394A1FE1}">
      <text>
        <r>
          <rPr>
            <sz val="8"/>
            <color indexed="81"/>
            <rFont val="Tahoma"/>
            <family val="2"/>
          </rPr>
          <t xml:space="preserve">State changed PY start to July 1 for 2010 PY. 
PY 2009 extended to 18 months (1 Jan '09 - 30 Jun '10).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AB5AA0AD-4350-4F52-835E-AE824374E746}">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BA64626A-BA0C-4B44-9D7C-1C14F91A4F7B}">
      <text>
        <r>
          <rPr>
            <b/>
            <sz val="8"/>
            <color indexed="81"/>
            <rFont val="Tahoma"/>
            <family val="2"/>
          </rPr>
          <t>Total Grants for all years listed in LOCCS</t>
        </r>
        <r>
          <rPr>
            <sz val="8"/>
            <color indexed="81"/>
            <rFont val="Tahoma"/>
            <family val="2"/>
          </rPr>
          <t xml:space="preserve">
</t>
        </r>
      </text>
    </comment>
    <comment ref="C2" authorId="0" shapeId="0" xr:uid="{59C84A41-0E00-4F8B-9587-4783E01E9173}">
      <text>
        <r>
          <rPr>
            <b/>
            <sz val="8"/>
            <color indexed="81"/>
            <rFont val="Tahoma"/>
            <family val="2"/>
          </rPr>
          <t>Total expenditures for all grant years recorded in LOCCS</t>
        </r>
        <r>
          <rPr>
            <sz val="8"/>
            <color indexed="81"/>
            <rFont val="Tahoma"/>
            <family val="2"/>
          </rPr>
          <t xml:space="preserve">
</t>
        </r>
      </text>
    </comment>
    <comment ref="D2" authorId="0" shapeId="0" xr:uid="{5F34E783-E855-4B7E-8AD6-5AD1768FC55C}">
      <text>
        <r>
          <rPr>
            <b/>
            <sz val="8"/>
            <color indexed="81"/>
            <rFont val="Tahoma"/>
            <family val="2"/>
          </rPr>
          <t>Column B minus Column C
Calculated from LOCCS data (all grants less all expenditures)</t>
        </r>
      </text>
    </comment>
    <comment ref="E2" authorId="0" shapeId="0" xr:uid="{B31B339B-4230-4AB2-968A-A9805886409B}">
      <text>
        <r>
          <rPr>
            <b/>
            <sz val="8"/>
            <color indexed="81"/>
            <rFont val="Tahoma"/>
            <family val="2"/>
          </rPr>
          <t>Total of previous 12 months expenditures recorded in LOCCS</t>
        </r>
      </text>
    </comment>
    <comment ref="F2" authorId="0" shapeId="0" xr:uid="{2E84B699-BC05-47D4-90CD-2F8992FCE057}">
      <text>
        <r>
          <rPr>
            <b/>
            <sz val="8"/>
            <color indexed="81"/>
            <rFont val="Tahoma"/>
            <family val="2"/>
          </rPr>
          <t xml:space="preserve">
As shown in LOCCS</t>
        </r>
      </text>
    </comment>
    <comment ref="G2" authorId="0" shapeId="0" xr:uid="{8D5FBE7A-3271-4ADD-9185-D3D29626DD53}">
      <text>
        <r>
          <rPr>
            <b/>
            <sz val="8"/>
            <color indexed="81"/>
            <rFont val="Tahoma"/>
            <family val="2"/>
          </rPr>
          <t>Column D divided by Column F
Indicates # of years of funds available in terms of latest grant amt.</t>
        </r>
      </text>
    </comment>
    <comment ref="H2" authorId="0" shapeId="0" xr:uid="{45F2BCFD-2B3D-4FC6-8C77-56D8CC95AB8D}">
      <text>
        <r>
          <rPr>
            <b/>
            <sz val="8"/>
            <color indexed="81"/>
            <rFont val="Tahoma"/>
            <family val="2"/>
          </rPr>
          <t>Column E divided by Column F
This draw-down rate should be 1 or more to avoid increasing balances.</t>
        </r>
      </text>
    </comment>
    <comment ref="I2" authorId="0" shapeId="0" xr:uid="{7D3FE775-DEC8-46EA-85EB-5172F52EABF3}">
      <text>
        <r>
          <rPr>
            <b/>
            <sz val="8"/>
            <color indexed="81"/>
            <rFont val="Tahoma"/>
            <family val="2"/>
          </rPr>
          <t>Column E divided by 12
Indicates average dollar amount spent each of the last 12 months.</t>
        </r>
      </text>
    </comment>
    <comment ref="J2" authorId="0" shapeId="0" xr:uid="{E9AD5F85-1AE6-4254-83A6-53D0ACBA4725}">
      <text>
        <r>
          <rPr>
            <b/>
            <sz val="8"/>
            <color indexed="81"/>
            <rFont val="Tahoma"/>
            <family val="2"/>
          </rPr>
          <t>Indicates the number of months remaining until 60 days before end of current Program Year.</t>
        </r>
      </text>
    </comment>
    <comment ref="K2" authorId="0" shapeId="0" xr:uid="{F6A174A6-64CD-4D8E-8B07-BE43221DA2DB}">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9B446945-ADD5-4656-AF97-DF5E51D2C939}">
      <text>
        <r>
          <rPr>
            <b/>
            <sz val="8"/>
            <color indexed="81"/>
            <rFont val="Tahoma"/>
            <family val="2"/>
          </rPr>
          <t>Monthly expenditure in dollars required to reduce unexpended balance to 2 times most recent grant amount by 60 days prior to end of current Program Year.</t>
        </r>
      </text>
    </comment>
    <comment ref="M2" authorId="0" shapeId="0" xr:uid="{3DAFDEFE-A0A1-4DFF-9F2F-A5FB4C9A41F8}">
      <text>
        <r>
          <rPr>
            <b/>
            <sz val="8"/>
            <color indexed="81"/>
            <rFont val="Tahoma"/>
            <family val="2"/>
          </rPr>
          <t>Monthly expenditure in dollars required to reduce unexpended balance to 2.5 times most recent grant amount by 60 days prior to end of current Program Year.</t>
        </r>
      </text>
    </comment>
    <comment ref="N2" authorId="0" shapeId="0" xr:uid="{FCAC76A9-E661-43D6-82E7-37132B092AE2}">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4C98DE23-6C94-4A98-8FCA-2AC99D163C69}">
      <text>
        <r>
          <rPr>
            <b/>
            <sz val="8"/>
            <color indexed="81"/>
            <rFont val="Tahoma"/>
            <family val="2"/>
          </rPr>
          <t xml:space="preserve">Starting date for the State's current Program Year
</t>
        </r>
      </text>
    </comment>
    <comment ref="P2" authorId="0" shapeId="0" xr:uid="{74773A24-163F-40FB-9DDC-4AEDE4295A79}">
      <text>
        <r>
          <rPr>
            <b/>
            <sz val="8"/>
            <color indexed="81"/>
            <rFont val="Tahoma"/>
            <family val="2"/>
          </rPr>
          <t>Column C minus prior month's Column C
Calculated from LOCCS data (all expenditures less all expenditures thru prior month)</t>
        </r>
      </text>
    </comment>
    <comment ref="Q2" authorId="0" shapeId="0" xr:uid="{080202E9-A36A-41D5-A2DA-8F910C3F2045}">
      <text>
        <r>
          <rPr>
            <b/>
            <sz val="8"/>
            <color indexed="81"/>
            <rFont val="Tahoma"/>
            <family val="2"/>
          </rPr>
          <t>Month when the most recent grant amount changed in LOCCS.  If change occurred outside range, cell indicates "over 18 months ago".</t>
        </r>
      </text>
    </comment>
    <comment ref="N6" authorId="1" shapeId="0" xr:uid="{34F0E85F-E77C-4639-80B0-FAC957FCDDE4}">
      <text>
        <r>
          <rPr>
            <sz val="8"/>
            <color indexed="81"/>
            <rFont val="Tahoma"/>
            <family val="2"/>
          </rPr>
          <t xml:space="preserve">State changed PY start to July 1 for 2010 PY. 
PY 2009 extended to 18 months (1 Jan '09 - 30 Jun '10).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B6F40FB2-7B4A-4DDD-B28E-8FE93E6F726B}">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AD6D0E27-0F42-40EE-A29C-3E24DA824D05}">
      <text>
        <r>
          <rPr>
            <b/>
            <sz val="8"/>
            <color indexed="81"/>
            <rFont val="Tahoma"/>
            <family val="2"/>
          </rPr>
          <t>Total Grants for all years listed in LOCCS</t>
        </r>
        <r>
          <rPr>
            <sz val="8"/>
            <color indexed="81"/>
            <rFont val="Tahoma"/>
            <family val="2"/>
          </rPr>
          <t xml:space="preserve">
</t>
        </r>
      </text>
    </comment>
    <comment ref="C2" authorId="0" shapeId="0" xr:uid="{4C89CC20-CF7D-4F5F-A032-76137D258588}">
      <text>
        <r>
          <rPr>
            <b/>
            <sz val="8"/>
            <color indexed="81"/>
            <rFont val="Tahoma"/>
            <family val="2"/>
          </rPr>
          <t>Total expenditures for all grant years recorded in LOCCS</t>
        </r>
        <r>
          <rPr>
            <sz val="8"/>
            <color indexed="81"/>
            <rFont val="Tahoma"/>
            <family val="2"/>
          </rPr>
          <t xml:space="preserve">
</t>
        </r>
      </text>
    </comment>
    <comment ref="D2" authorId="0" shapeId="0" xr:uid="{FC6C76E6-D62E-4C42-94C6-56BE08A949BE}">
      <text>
        <r>
          <rPr>
            <b/>
            <sz val="8"/>
            <color indexed="81"/>
            <rFont val="Tahoma"/>
            <family val="2"/>
          </rPr>
          <t>Column B minus Column C
Calculated from LOCCS data (all grants less all expenditures)</t>
        </r>
      </text>
    </comment>
    <comment ref="E2" authorId="0" shapeId="0" xr:uid="{A2ED9300-7F9D-4849-8E84-8E741D9047D3}">
      <text>
        <r>
          <rPr>
            <b/>
            <sz val="8"/>
            <color indexed="81"/>
            <rFont val="Tahoma"/>
            <family val="2"/>
          </rPr>
          <t>Total of previous 12 months expenditures recorded in LOCCS</t>
        </r>
      </text>
    </comment>
    <comment ref="F2" authorId="0" shapeId="0" xr:uid="{5F8F249A-350A-4A0B-A338-01725109BAFD}">
      <text>
        <r>
          <rPr>
            <b/>
            <sz val="8"/>
            <color indexed="81"/>
            <rFont val="Tahoma"/>
            <family val="2"/>
          </rPr>
          <t xml:space="preserve">
As shown in LOCCS</t>
        </r>
      </text>
    </comment>
    <comment ref="G2" authorId="0" shapeId="0" xr:uid="{4EC75DBF-1FB2-441C-9E9C-81E092C74C95}">
      <text>
        <r>
          <rPr>
            <b/>
            <sz val="8"/>
            <color indexed="81"/>
            <rFont val="Tahoma"/>
            <family val="2"/>
          </rPr>
          <t>Column D divided by Column F
Indicates # of years of funds available in terms of latest grant amt.</t>
        </r>
      </text>
    </comment>
    <comment ref="H2" authorId="0" shapeId="0" xr:uid="{07BEACF5-CB11-4303-9C9E-D076B8184C00}">
      <text>
        <r>
          <rPr>
            <b/>
            <sz val="8"/>
            <color indexed="81"/>
            <rFont val="Tahoma"/>
            <family val="2"/>
          </rPr>
          <t>Column E divided by Column F
This draw-down rate should be 1 or more to avoid increasing balances.</t>
        </r>
      </text>
    </comment>
    <comment ref="I2" authorId="0" shapeId="0" xr:uid="{EADA0874-B856-4268-96F9-135914D1CDEF}">
      <text>
        <r>
          <rPr>
            <b/>
            <sz val="8"/>
            <color indexed="81"/>
            <rFont val="Tahoma"/>
            <family val="2"/>
          </rPr>
          <t>Column E divided by 12
Indicates average dollar amount spent each of the last 12 months.</t>
        </r>
      </text>
    </comment>
    <comment ref="J2" authorId="0" shapeId="0" xr:uid="{286B02CE-5F8A-4D77-94B2-91D52F291481}">
      <text>
        <r>
          <rPr>
            <b/>
            <sz val="8"/>
            <color indexed="81"/>
            <rFont val="Tahoma"/>
            <family val="2"/>
          </rPr>
          <t>Indicates the number of months remaining until 60 days before end of current Program Year.</t>
        </r>
      </text>
    </comment>
    <comment ref="K2" authorId="0" shapeId="0" xr:uid="{97C1303F-9788-4B1A-9837-D2B278FA2A2F}">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DEB2D8CB-293A-43EE-96BE-B99BD25FE529}">
      <text>
        <r>
          <rPr>
            <b/>
            <sz val="8"/>
            <color indexed="81"/>
            <rFont val="Tahoma"/>
            <family val="2"/>
          </rPr>
          <t>Monthly expenditure in dollars required to reduce unexpended balance to 2 times most recent grant amount by 60 days prior to end of current Program Year.</t>
        </r>
      </text>
    </comment>
    <comment ref="M2" authorId="0" shapeId="0" xr:uid="{24D70BC2-3C0D-4B18-A077-A34B71FAFAE3}">
      <text>
        <r>
          <rPr>
            <b/>
            <sz val="8"/>
            <color indexed="81"/>
            <rFont val="Tahoma"/>
            <family val="2"/>
          </rPr>
          <t>Monthly expenditure in dollars required to reduce unexpended balance to 2.5 times most recent grant amount by 60 days prior to end of current Program Year.</t>
        </r>
      </text>
    </comment>
    <comment ref="N2" authorId="0" shapeId="0" xr:uid="{7EF5BA20-1102-4F8C-BA61-8E28D0CB241D}">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86406945-EA49-4A25-A9E2-1FAF18FE5F57}">
      <text>
        <r>
          <rPr>
            <b/>
            <sz val="8"/>
            <color indexed="81"/>
            <rFont val="Tahoma"/>
            <family val="2"/>
          </rPr>
          <t xml:space="preserve">Starting date for the State's current Program Year
</t>
        </r>
      </text>
    </comment>
    <comment ref="P2" authorId="0" shapeId="0" xr:uid="{5A897A2C-192D-4D46-997C-BE12479622E0}">
      <text>
        <r>
          <rPr>
            <b/>
            <sz val="8"/>
            <color indexed="81"/>
            <rFont val="Tahoma"/>
            <family val="2"/>
          </rPr>
          <t>Column C minus prior month's Column C
Calculated from LOCCS data (all expenditures less all expenditures thru prior month)</t>
        </r>
      </text>
    </comment>
    <comment ref="Q2" authorId="0" shapeId="0" xr:uid="{7108E7AC-736F-439F-A55A-12EF0467FF91}">
      <text>
        <r>
          <rPr>
            <b/>
            <sz val="8"/>
            <color indexed="81"/>
            <rFont val="Tahoma"/>
            <family val="2"/>
          </rPr>
          <t>Month when the most recent grant amount changed in LOCCS.  If change occurred outside range, cell indicates "over 18 months ago".</t>
        </r>
      </text>
    </comment>
    <comment ref="N6" authorId="1" shapeId="0" xr:uid="{9BB59074-B821-4B18-8076-4E86333C921D}">
      <text>
        <r>
          <rPr>
            <sz val="8"/>
            <color indexed="81"/>
            <rFont val="Tahoma"/>
            <family val="2"/>
          </rPr>
          <t xml:space="preserve">State changed PY start to July 1 for 2010 PY. 
PY 2009 extended to 18 months (1 Jan '09 - 30 Jun '10).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097796A3-E167-4A55-A31E-F3CAA37ABF10}">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AF9F0365-BF1E-4B0E-A26B-664AF7E24AF1}">
      <text>
        <r>
          <rPr>
            <b/>
            <sz val="8"/>
            <color indexed="81"/>
            <rFont val="Tahoma"/>
            <family val="2"/>
          </rPr>
          <t>Total Grants for all years listed in LOCCS</t>
        </r>
        <r>
          <rPr>
            <sz val="8"/>
            <color indexed="81"/>
            <rFont val="Tahoma"/>
            <family val="2"/>
          </rPr>
          <t xml:space="preserve">
</t>
        </r>
      </text>
    </comment>
    <comment ref="C2" authorId="0" shapeId="0" xr:uid="{69F5659A-5ECF-4A56-9780-E0B0B9A8213D}">
      <text>
        <r>
          <rPr>
            <b/>
            <sz val="8"/>
            <color indexed="81"/>
            <rFont val="Tahoma"/>
            <family val="2"/>
          </rPr>
          <t>Total expenditures for all grant years recorded in LOCCS</t>
        </r>
        <r>
          <rPr>
            <sz val="8"/>
            <color indexed="81"/>
            <rFont val="Tahoma"/>
            <family val="2"/>
          </rPr>
          <t xml:space="preserve">
</t>
        </r>
      </text>
    </comment>
    <comment ref="D2" authorId="0" shapeId="0" xr:uid="{8E605817-B8EB-436E-94F1-38B9A39B32A2}">
      <text>
        <r>
          <rPr>
            <b/>
            <sz val="8"/>
            <color indexed="81"/>
            <rFont val="Tahoma"/>
            <family val="2"/>
          </rPr>
          <t>Column B minus Column C
Calculated from LOCCS data (all grants less all expenditures)</t>
        </r>
      </text>
    </comment>
    <comment ref="E2" authorId="0" shapeId="0" xr:uid="{9B82AE76-57C6-4AEB-A904-2D11537892FE}">
      <text>
        <r>
          <rPr>
            <b/>
            <sz val="8"/>
            <color indexed="81"/>
            <rFont val="Tahoma"/>
            <family val="2"/>
          </rPr>
          <t>Total of previous 12 months expenditures recorded in LOCCS</t>
        </r>
      </text>
    </comment>
    <comment ref="F2" authorId="0" shapeId="0" xr:uid="{37E11BFC-4702-44C9-A42D-2CF2F9C47AF3}">
      <text>
        <r>
          <rPr>
            <b/>
            <sz val="8"/>
            <color indexed="81"/>
            <rFont val="Tahoma"/>
            <family val="2"/>
          </rPr>
          <t xml:space="preserve">
As shown in LOCCS</t>
        </r>
      </text>
    </comment>
    <comment ref="G2" authorId="0" shapeId="0" xr:uid="{6ED3FE47-486F-47A2-99F5-FC9494CBFF3C}">
      <text>
        <r>
          <rPr>
            <b/>
            <sz val="8"/>
            <color indexed="81"/>
            <rFont val="Tahoma"/>
            <family val="2"/>
          </rPr>
          <t>Column D divided by Column F
Indicates # of years of funds available in terms of latest grant amt.</t>
        </r>
      </text>
    </comment>
    <comment ref="H2" authorId="0" shapeId="0" xr:uid="{62CE8B6C-CE8B-4A15-831D-722D728A0B7A}">
      <text>
        <r>
          <rPr>
            <b/>
            <sz val="8"/>
            <color indexed="81"/>
            <rFont val="Tahoma"/>
            <family val="2"/>
          </rPr>
          <t>Column E divided by Column F
This draw-down rate should be 1 or more to avoid increasing balances.</t>
        </r>
      </text>
    </comment>
    <comment ref="I2" authorId="0" shapeId="0" xr:uid="{14DE966D-055C-476A-BBED-105783BA9915}">
      <text>
        <r>
          <rPr>
            <b/>
            <sz val="8"/>
            <color indexed="81"/>
            <rFont val="Tahoma"/>
            <family val="2"/>
          </rPr>
          <t>Column E divided by 12
Indicates average dollar amount spent each of the last 12 months.</t>
        </r>
      </text>
    </comment>
    <comment ref="J2" authorId="0" shapeId="0" xr:uid="{1745741F-25DB-4FEE-9305-D03A14C853AD}">
      <text>
        <r>
          <rPr>
            <b/>
            <sz val="8"/>
            <color indexed="81"/>
            <rFont val="Tahoma"/>
            <family val="2"/>
          </rPr>
          <t>Indicates the number of months remaining until 60 days before end of current Program Year.</t>
        </r>
      </text>
    </comment>
    <comment ref="K2" authorId="0" shapeId="0" xr:uid="{0E5F8941-B211-435A-AB8F-9434B99D6C59}">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38DB87A5-1C49-4AD8-9CA0-0DD2BB7BFEEC}">
      <text>
        <r>
          <rPr>
            <b/>
            <sz val="8"/>
            <color indexed="81"/>
            <rFont val="Tahoma"/>
            <family val="2"/>
          </rPr>
          <t>Monthly expenditure in dollars required to reduce unexpended balance to 2 times most recent grant amount by 60 days prior to end of current Program Year.</t>
        </r>
      </text>
    </comment>
    <comment ref="M2" authorId="0" shapeId="0" xr:uid="{3B69073B-920F-4974-A790-276BBBB2695F}">
      <text>
        <r>
          <rPr>
            <b/>
            <sz val="8"/>
            <color indexed="81"/>
            <rFont val="Tahoma"/>
            <family val="2"/>
          </rPr>
          <t>Monthly expenditure in dollars required to reduce unexpended balance to 2.5 times most recent grant amount by 60 days prior to end of current Program Year.</t>
        </r>
      </text>
    </comment>
    <comment ref="N2" authorId="0" shapeId="0" xr:uid="{EB0629DE-F257-417D-92A5-6A8F85B3AD1B}">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EBC388C8-E2E4-4732-A965-0E05AF6C21D7}">
      <text>
        <r>
          <rPr>
            <b/>
            <sz val="8"/>
            <color indexed="81"/>
            <rFont val="Tahoma"/>
            <family val="2"/>
          </rPr>
          <t xml:space="preserve">Starting date for the State's current Program Year
</t>
        </r>
      </text>
    </comment>
    <comment ref="P2" authorId="0" shapeId="0" xr:uid="{B353F22B-C0E7-4892-80F7-1536FE145EDC}">
      <text>
        <r>
          <rPr>
            <b/>
            <sz val="8"/>
            <color indexed="81"/>
            <rFont val="Tahoma"/>
            <family val="2"/>
          </rPr>
          <t>Column C minus prior month's Column C
Calculated from LOCCS data (all expenditures less all expenditures thru prior month)</t>
        </r>
      </text>
    </comment>
    <comment ref="Q2" authorId="0" shapeId="0" xr:uid="{1D20E56A-6E1A-4565-9C4E-9DA933641F76}">
      <text>
        <r>
          <rPr>
            <b/>
            <sz val="8"/>
            <color indexed="81"/>
            <rFont val="Tahoma"/>
            <family val="2"/>
          </rPr>
          <t>Month when the most recent grant amount changed in LOCCS.  If change occurred outside range, cell indicates "over 18 months ago".</t>
        </r>
      </text>
    </comment>
    <comment ref="N6" authorId="1" shapeId="0" xr:uid="{945FC9CD-641A-4A50-9528-5D927045E72A}">
      <text>
        <r>
          <rPr>
            <sz val="8"/>
            <color indexed="81"/>
            <rFont val="Tahoma"/>
            <family val="2"/>
          </rPr>
          <t xml:space="preserve">State changed PY start to July 1 for 2010 PY. 
PY 2009 extended to 18 months (1 Jan '09 - 30 Jun '10).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3B3658A3-6820-4679-A236-BB439D64378C}">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7DB493BE-48A7-4F84-BA7B-8B7EE1B76F77}">
      <text>
        <r>
          <rPr>
            <b/>
            <sz val="8"/>
            <color indexed="81"/>
            <rFont val="Tahoma"/>
            <family val="2"/>
          </rPr>
          <t>Total Grants for all years listed in LOCCS</t>
        </r>
        <r>
          <rPr>
            <sz val="8"/>
            <color indexed="81"/>
            <rFont val="Tahoma"/>
            <family val="2"/>
          </rPr>
          <t xml:space="preserve">
</t>
        </r>
      </text>
    </comment>
    <comment ref="C2" authorId="0" shapeId="0" xr:uid="{BC7BAEFD-A4E6-4201-8DE2-61358784DD37}">
      <text>
        <r>
          <rPr>
            <b/>
            <sz val="8"/>
            <color indexed="81"/>
            <rFont val="Tahoma"/>
            <family val="2"/>
          </rPr>
          <t>Total expenditures for all grant years recorded in LOCCS</t>
        </r>
        <r>
          <rPr>
            <sz val="8"/>
            <color indexed="81"/>
            <rFont val="Tahoma"/>
            <family val="2"/>
          </rPr>
          <t xml:space="preserve">
</t>
        </r>
      </text>
    </comment>
    <comment ref="D2" authorId="0" shapeId="0" xr:uid="{893B4716-C94D-48EF-B71B-23C1752689D7}">
      <text>
        <r>
          <rPr>
            <b/>
            <sz val="8"/>
            <color indexed="81"/>
            <rFont val="Tahoma"/>
            <family val="2"/>
          </rPr>
          <t>Column B minus Column C
Calculated from LOCCS data (all grants less all expenditures)</t>
        </r>
      </text>
    </comment>
    <comment ref="E2" authorId="0" shapeId="0" xr:uid="{4BE9A07D-EF43-48B1-8912-061F5AF099F4}">
      <text>
        <r>
          <rPr>
            <b/>
            <sz val="8"/>
            <color indexed="81"/>
            <rFont val="Tahoma"/>
            <family val="2"/>
          </rPr>
          <t>Total of previous 12 months expenditures recorded in LOCCS</t>
        </r>
      </text>
    </comment>
    <comment ref="F2" authorId="0" shapeId="0" xr:uid="{ACAC6F05-0CD3-4459-9BDD-CE85842B5F19}">
      <text>
        <r>
          <rPr>
            <b/>
            <sz val="8"/>
            <color indexed="81"/>
            <rFont val="Tahoma"/>
            <family val="2"/>
          </rPr>
          <t xml:space="preserve">
As shown in LOCCS</t>
        </r>
      </text>
    </comment>
    <comment ref="G2" authorId="0" shapeId="0" xr:uid="{BFBDD04E-FA81-462A-943E-0265A7B8BEB3}">
      <text>
        <r>
          <rPr>
            <b/>
            <sz val="8"/>
            <color indexed="81"/>
            <rFont val="Tahoma"/>
            <family val="2"/>
          </rPr>
          <t>Column D divided by Column F
Indicates # of years of funds available in terms of latest grant amt.</t>
        </r>
      </text>
    </comment>
    <comment ref="H2" authorId="0" shapeId="0" xr:uid="{DEF21231-7766-4196-840B-10EE8D0C9F15}">
      <text>
        <r>
          <rPr>
            <b/>
            <sz val="8"/>
            <color indexed="81"/>
            <rFont val="Tahoma"/>
            <family val="2"/>
          </rPr>
          <t>Column E divided by Column F
This draw-down rate should be 1 or more to avoid increasing balances.</t>
        </r>
      </text>
    </comment>
    <comment ref="I2" authorId="0" shapeId="0" xr:uid="{7D847694-AF54-4DFA-B680-084AA6899748}">
      <text>
        <r>
          <rPr>
            <b/>
            <sz val="8"/>
            <color indexed="81"/>
            <rFont val="Tahoma"/>
            <family val="2"/>
          </rPr>
          <t>Column E divided by 12
Indicates average dollar amount spent each of the last 12 months.</t>
        </r>
      </text>
    </comment>
    <comment ref="J2" authorId="0" shapeId="0" xr:uid="{C9CC9879-BA57-49B2-99F0-CE7F8388D593}">
      <text>
        <r>
          <rPr>
            <b/>
            <sz val="8"/>
            <color indexed="81"/>
            <rFont val="Tahoma"/>
            <family val="2"/>
          </rPr>
          <t>Indicates the number of months remaining until 60 days before end of current Program Year.</t>
        </r>
      </text>
    </comment>
    <comment ref="K2" authorId="0" shapeId="0" xr:uid="{811E382E-372D-4240-805D-ACBA513EFCE6}">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0F860417-FBF4-4FFD-89C8-110D3799F685}">
      <text>
        <r>
          <rPr>
            <b/>
            <sz val="8"/>
            <color indexed="81"/>
            <rFont val="Tahoma"/>
            <family val="2"/>
          </rPr>
          <t>Monthly expenditure in dollars required to reduce unexpended balance to 2 times most recent grant amount by 60 days prior to end of current Program Year.</t>
        </r>
      </text>
    </comment>
    <comment ref="M2" authorId="0" shapeId="0" xr:uid="{C958BE80-470E-4CED-86A2-70B8346F0602}">
      <text>
        <r>
          <rPr>
            <b/>
            <sz val="8"/>
            <color indexed="81"/>
            <rFont val="Tahoma"/>
            <family val="2"/>
          </rPr>
          <t>Monthly expenditure in dollars required to reduce unexpended balance to 2.5 times most recent grant amount by 60 days prior to end of current Program Year.</t>
        </r>
      </text>
    </comment>
    <comment ref="N2" authorId="0" shapeId="0" xr:uid="{477EB608-62A1-4589-BA8B-FDE9D24CC72F}">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DB5A9928-62A6-45F0-9175-4E0B9B53D3B0}">
      <text>
        <r>
          <rPr>
            <b/>
            <sz val="8"/>
            <color indexed="81"/>
            <rFont val="Tahoma"/>
            <family val="2"/>
          </rPr>
          <t xml:space="preserve">Starting date for the State's current Program Year
</t>
        </r>
      </text>
    </comment>
    <comment ref="P2" authorId="0" shapeId="0" xr:uid="{93F222AD-0841-4C1E-A3AC-FC8CD38624FC}">
      <text>
        <r>
          <rPr>
            <b/>
            <sz val="8"/>
            <color indexed="81"/>
            <rFont val="Tahoma"/>
            <family val="2"/>
          </rPr>
          <t>Column C minus prior month's Column C
Calculated from LOCCS data (all expenditures less all expenditures thru prior month)</t>
        </r>
      </text>
    </comment>
    <comment ref="Q2" authorId="0" shapeId="0" xr:uid="{8F023638-A9E8-4F3F-8117-1C28E61B1ABB}">
      <text>
        <r>
          <rPr>
            <b/>
            <sz val="8"/>
            <color indexed="81"/>
            <rFont val="Tahoma"/>
            <family val="2"/>
          </rPr>
          <t>Month when the most recent grant amount changed in LOCCS.  If change occurred outside range, cell indicates "over 18 months ago".</t>
        </r>
      </text>
    </comment>
    <comment ref="N6" authorId="1" shapeId="0" xr:uid="{40CDE2E1-9B9D-4F00-B2C2-15E86BB1906B}">
      <text>
        <r>
          <rPr>
            <sz val="8"/>
            <color indexed="81"/>
            <rFont val="Tahoma"/>
            <family val="2"/>
          </rPr>
          <t xml:space="preserve">State changed PY start to July 1 for 2010 PY. 
PY 2009 extended to 18 months (1 Jan '09 - 30 Jun '10).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B87E34AF-2AC0-4F94-AF95-47DBBD4A3EAA}">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A13A0158-13BD-4E02-8A62-9D3F0447A650}">
      <text>
        <r>
          <rPr>
            <b/>
            <sz val="8"/>
            <color indexed="81"/>
            <rFont val="Tahoma"/>
            <family val="2"/>
          </rPr>
          <t>Total Grants for all years listed in LOCCS</t>
        </r>
        <r>
          <rPr>
            <sz val="8"/>
            <color indexed="81"/>
            <rFont val="Tahoma"/>
            <family val="2"/>
          </rPr>
          <t xml:space="preserve">
</t>
        </r>
      </text>
    </comment>
    <comment ref="C2" authorId="0" shapeId="0" xr:uid="{33D9C357-EAA2-448D-ADD4-C477DD42F20A}">
      <text>
        <r>
          <rPr>
            <b/>
            <sz val="8"/>
            <color indexed="81"/>
            <rFont val="Tahoma"/>
            <family val="2"/>
          </rPr>
          <t>Total expenditures for all grant years recorded in LOCCS</t>
        </r>
        <r>
          <rPr>
            <sz val="8"/>
            <color indexed="81"/>
            <rFont val="Tahoma"/>
            <family val="2"/>
          </rPr>
          <t xml:space="preserve">
</t>
        </r>
      </text>
    </comment>
    <comment ref="D2" authorId="0" shapeId="0" xr:uid="{CD869330-6F05-47E0-B003-55423D08BFAE}">
      <text>
        <r>
          <rPr>
            <b/>
            <sz val="8"/>
            <color indexed="81"/>
            <rFont val="Tahoma"/>
            <family val="2"/>
          </rPr>
          <t>Column B minus Column C
Calculated from LOCCS data (all grants less all expenditures)</t>
        </r>
      </text>
    </comment>
    <comment ref="E2" authorId="0" shapeId="0" xr:uid="{5DC8EBB9-7BCF-48D8-B5B7-FD60FF69C96F}">
      <text>
        <r>
          <rPr>
            <b/>
            <sz val="8"/>
            <color indexed="81"/>
            <rFont val="Tahoma"/>
            <family val="2"/>
          </rPr>
          <t>Total of previous 12 months expenditures recorded in LOCCS</t>
        </r>
      </text>
    </comment>
    <comment ref="F2" authorId="0" shapeId="0" xr:uid="{00DD985C-9579-40D9-90A6-C054677D9728}">
      <text>
        <r>
          <rPr>
            <b/>
            <sz val="8"/>
            <color indexed="81"/>
            <rFont val="Tahoma"/>
            <family val="2"/>
          </rPr>
          <t xml:space="preserve">
As shown in LOCCS</t>
        </r>
      </text>
    </comment>
    <comment ref="G2" authorId="0" shapeId="0" xr:uid="{CD1F7A56-AA96-4B6A-AC27-85B0A255E99C}">
      <text>
        <r>
          <rPr>
            <b/>
            <sz val="8"/>
            <color indexed="81"/>
            <rFont val="Tahoma"/>
            <family val="2"/>
          </rPr>
          <t>Column D divided by Column F
Indicates # of years of funds available in terms of latest grant amt.</t>
        </r>
      </text>
    </comment>
    <comment ref="H2" authorId="0" shapeId="0" xr:uid="{BAA5EA71-4D83-4987-94BA-AF8947BF9B36}">
      <text>
        <r>
          <rPr>
            <b/>
            <sz val="8"/>
            <color indexed="81"/>
            <rFont val="Tahoma"/>
            <family val="2"/>
          </rPr>
          <t>Column E divided by Column F
This draw-down rate should be 1 or more to avoid increasing balances.</t>
        </r>
      </text>
    </comment>
    <comment ref="I2" authorId="0" shapeId="0" xr:uid="{B89CD668-5188-457D-A435-93776BED668D}">
      <text>
        <r>
          <rPr>
            <b/>
            <sz val="8"/>
            <color indexed="81"/>
            <rFont val="Tahoma"/>
            <family val="2"/>
          </rPr>
          <t>Column E divided by 12
Indicates average dollar amount spent each of the last 12 months.</t>
        </r>
      </text>
    </comment>
    <comment ref="J2" authorId="0" shapeId="0" xr:uid="{594278EE-AFCC-4057-A2CC-E4A050E9D2E5}">
      <text>
        <r>
          <rPr>
            <b/>
            <sz val="8"/>
            <color indexed="81"/>
            <rFont val="Tahoma"/>
            <family val="2"/>
          </rPr>
          <t>Indicates the number of months remaining until 60 days before end of current Program Year.</t>
        </r>
      </text>
    </comment>
    <comment ref="K2" authorId="0" shapeId="0" xr:uid="{517576A9-44F4-4075-BC6A-2EE9372A7BC4}">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1D19D0EC-DDA3-4D58-9000-3C4A480B707D}">
      <text>
        <r>
          <rPr>
            <b/>
            <sz val="8"/>
            <color indexed="81"/>
            <rFont val="Tahoma"/>
            <family val="2"/>
          </rPr>
          <t>Monthly expenditure in dollars required to reduce unexpended balance to 2 times most recent grant amount by 60 days prior to end of current Program Year.</t>
        </r>
      </text>
    </comment>
    <comment ref="M2" authorId="0" shapeId="0" xr:uid="{F1380ED6-91D1-4AD4-8464-532AA5EDDE3E}">
      <text>
        <r>
          <rPr>
            <b/>
            <sz val="8"/>
            <color indexed="81"/>
            <rFont val="Tahoma"/>
            <family val="2"/>
          </rPr>
          <t>Monthly expenditure in dollars required to reduce unexpended balance to 2.5 times most recent grant amount by 60 days prior to end of current Program Year.</t>
        </r>
      </text>
    </comment>
    <comment ref="N2" authorId="0" shapeId="0" xr:uid="{60D35887-64A6-4125-A879-B8327B3E2A4B}">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937B42CE-0A86-4CA8-A8E0-CC98BE70578F}">
      <text>
        <r>
          <rPr>
            <b/>
            <sz val="8"/>
            <color indexed="81"/>
            <rFont val="Tahoma"/>
            <family val="2"/>
          </rPr>
          <t xml:space="preserve">Starting date for the State's current Program Year
</t>
        </r>
      </text>
    </comment>
    <comment ref="P2" authorId="0" shapeId="0" xr:uid="{4521B078-AA81-4EE2-A204-EA99B27D35B3}">
      <text>
        <r>
          <rPr>
            <b/>
            <sz val="8"/>
            <color indexed="81"/>
            <rFont val="Tahoma"/>
            <family val="2"/>
          </rPr>
          <t>Column C minus prior month's Column C
Calculated from LOCCS data (all expenditures less all expenditures thru prior month)</t>
        </r>
      </text>
    </comment>
    <comment ref="Q2" authorId="0" shapeId="0" xr:uid="{D4020EE0-6942-436E-858D-50C539DFCD9A}">
      <text>
        <r>
          <rPr>
            <b/>
            <sz val="8"/>
            <color indexed="81"/>
            <rFont val="Tahoma"/>
            <family val="2"/>
          </rPr>
          <t>Month when the most recent grant amount changed in LOCCS.  If change occurred outside range, cell indicates "over 18 months ago".</t>
        </r>
      </text>
    </comment>
    <comment ref="N6" authorId="1" shapeId="0" xr:uid="{3975EB88-265F-425F-BC1B-F21C3EBEA068}">
      <text>
        <r>
          <rPr>
            <sz val="8"/>
            <color indexed="81"/>
            <rFont val="Tahoma"/>
            <family val="2"/>
          </rPr>
          <t xml:space="preserve">State changed PY start to July 1 for 2010 PY. 
PY 2009 extended to 18 months (1 Jan '09 - 30 Jun '10).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5D3023B9-248D-4650-9122-6DFB67763451}">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63CD41E8-B435-4314-B7EA-1100A0E25CDB}">
      <text>
        <r>
          <rPr>
            <b/>
            <sz val="8"/>
            <color indexed="81"/>
            <rFont val="Tahoma"/>
            <family val="2"/>
          </rPr>
          <t>Total Grants for all years listed in LOCCS</t>
        </r>
        <r>
          <rPr>
            <sz val="8"/>
            <color indexed="81"/>
            <rFont val="Tahoma"/>
            <family val="2"/>
          </rPr>
          <t xml:space="preserve">
</t>
        </r>
      </text>
    </comment>
    <comment ref="C2" authorId="0" shapeId="0" xr:uid="{91DAF32D-2513-4886-96A0-5764DEE71BBF}">
      <text>
        <r>
          <rPr>
            <b/>
            <sz val="8"/>
            <color indexed="81"/>
            <rFont val="Tahoma"/>
            <family val="2"/>
          </rPr>
          <t>Total expenditures for all grant years recorded in LOCCS</t>
        </r>
        <r>
          <rPr>
            <sz val="8"/>
            <color indexed="81"/>
            <rFont val="Tahoma"/>
            <family val="2"/>
          </rPr>
          <t xml:space="preserve">
</t>
        </r>
      </text>
    </comment>
    <comment ref="D2" authorId="0" shapeId="0" xr:uid="{C22951EB-DADB-407A-A809-5A608F93D2AE}">
      <text>
        <r>
          <rPr>
            <b/>
            <sz val="8"/>
            <color indexed="81"/>
            <rFont val="Tahoma"/>
            <family val="2"/>
          </rPr>
          <t>Column B minus Column C
Calculated from LOCCS data (all grants less all expenditures)</t>
        </r>
      </text>
    </comment>
    <comment ref="E2" authorId="0" shapeId="0" xr:uid="{8E9A7593-008F-468F-9F5F-5A92BF3249D5}">
      <text>
        <r>
          <rPr>
            <b/>
            <sz val="8"/>
            <color indexed="81"/>
            <rFont val="Tahoma"/>
            <family val="2"/>
          </rPr>
          <t>Total of previous 12 months expenditures recorded in LOCCS</t>
        </r>
      </text>
    </comment>
    <comment ref="F2" authorId="0" shapeId="0" xr:uid="{92094E80-6451-4DE5-B4CC-446CF1FB5DAE}">
      <text>
        <r>
          <rPr>
            <b/>
            <sz val="8"/>
            <color indexed="81"/>
            <rFont val="Tahoma"/>
            <family val="2"/>
          </rPr>
          <t xml:space="preserve">
As shown in LOCCS</t>
        </r>
      </text>
    </comment>
    <comment ref="G2" authorId="0" shapeId="0" xr:uid="{2EC88ABE-8C3F-47D5-BA6C-CB5B141E8289}">
      <text>
        <r>
          <rPr>
            <b/>
            <sz val="8"/>
            <color indexed="81"/>
            <rFont val="Tahoma"/>
            <family val="2"/>
          </rPr>
          <t>Column D divided by Column F
Indicates # of years of funds available in terms of latest grant amt.</t>
        </r>
      </text>
    </comment>
    <comment ref="H2" authorId="0" shapeId="0" xr:uid="{1B795F3A-47C4-4D36-995F-D46EB7BD41F2}">
      <text>
        <r>
          <rPr>
            <b/>
            <sz val="8"/>
            <color indexed="81"/>
            <rFont val="Tahoma"/>
            <family val="2"/>
          </rPr>
          <t>Column E divided by Column F
This draw-down rate should be 1 or more to avoid increasing balances.</t>
        </r>
      </text>
    </comment>
    <comment ref="I2" authorId="0" shapeId="0" xr:uid="{6CF37B31-9640-468D-87CA-16005AD298E3}">
      <text>
        <r>
          <rPr>
            <b/>
            <sz val="8"/>
            <color indexed="81"/>
            <rFont val="Tahoma"/>
            <family val="2"/>
          </rPr>
          <t>Column E divided by 12
Indicates average dollar amount spent each of the last 12 months.</t>
        </r>
      </text>
    </comment>
    <comment ref="J2" authorId="0" shapeId="0" xr:uid="{5A9FE626-A876-4773-A964-1EB20A60EFE2}">
      <text>
        <r>
          <rPr>
            <b/>
            <sz val="8"/>
            <color indexed="81"/>
            <rFont val="Tahoma"/>
            <family val="2"/>
          </rPr>
          <t>Indicates the number of months remaining until 60 days before end of current Program Year.</t>
        </r>
      </text>
    </comment>
    <comment ref="K2" authorId="0" shapeId="0" xr:uid="{AD191A7C-09EC-4FEE-94C4-A6E9ADE5B304}">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1E9A10B0-06E3-4FF4-97E9-8241617B3D55}">
      <text>
        <r>
          <rPr>
            <b/>
            <sz val="8"/>
            <color indexed="81"/>
            <rFont val="Tahoma"/>
            <family val="2"/>
          </rPr>
          <t>Monthly expenditure in dollars required to reduce unexpended balance to 2 times most recent grant amount by 60 days prior to end of current Program Year.</t>
        </r>
      </text>
    </comment>
    <comment ref="M2" authorId="0" shapeId="0" xr:uid="{75022144-1D02-4587-8222-7588EE16A8F4}">
      <text>
        <r>
          <rPr>
            <b/>
            <sz val="8"/>
            <color indexed="81"/>
            <rFont val="Tahoma"/>
            <family val="2"/>
          </rPr>
          <t>Monthly expenditure in dollars required to reduce unexpended balance to 2.5 times most recent grant amount by 60 days prior to end of current Program Year.</t>
        </r>
      </text>
    </comment>
    <comment ref="N2" authorId="0" shapeId="0" xr:uid="{B4880FF5-0970-41E7-8673-236547F75FC9}">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970E3959-AFF1-4CDF-94C8-33DC6E910BAD}">
      <text>
        <r>
          <rPr>
            <b/>
            <sz val="8"/>
            <color indexed="81"/>
            <rFont val="Tahoma"/>
            <family val="2"/>
          </rPr>
          <t xml:space="preserve">Starting date for the State's current Program Year
</t>
        </r>
      </text>
    </comment>
    <comment ref="P2" authorId="0" shapeId="0" xr:uid="{F99F6F41-F1A3-430E-A5D3-75C657937832}">
      <text>
        <r>
          <rPr>
            <b/>
            <sz val="8"/>
            <color indexed="81"/>
            <rFont val="Tahoma"/>
            <family val="2"/>
          </rPr>
          <t>Column C minus prior month's Column C
Calculated from LOCCS data (all expenditures less all expenditures thru prior month)</t>
        </r>
      </text>
    </comment>
    <comment ref="Q2" authorId="0" shapeId="0" xr:uid="{2DA08C33-1772-4C64-98C4-A13F95D789AE}">
      <text>
        <r>
          <rPr>
            <b/>
            <sz val="8"/>
            <color indexed="81"/>
            <rFont val="Tahoma"/>
            <family val="2"/>
          </rPr>
          <t>Month when the most recent grant amount changed in LOCCS.  If change occurred outside range, cell indicates "over 18 months ago".</t>
        </r>
      </text>
    </comment>
    <comment ref="N6" authorId="1" shapeId="0" xr:uid="{0A5D4A9C-DF55-4000-8C1D-848E9814DBA5}">
      <text>
        <r>
          <rPr>
            <sz val="8"/>
            <color indexed="81"/>
            <rFont val="Tahoma"/>
            <family val="2"/>
          </rPr>
          <t xml:space="preserve">State changed PY start to July 1 for 2010 PY. 
PY 2009 extended to 18 months (1 Jan '09 - 30 Jun '10).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52E8B742-90A2-480C-AE11-9EB3628E2CD0}">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82A57D07-DBD5-4C5E-B24C-82AD788461FB}">
      <text>
        <r>
          <rPr>
            <b/>
            <sz val="8"/>
            <color indexed="81"/>
            <rFont val="Tahoma"/>
            <family val="2"/>
          </rPr>
          <t>Total Grants for all years listed in LOCCS</t>
        </r>
        <r>
          <rPr>
            <sz val="8"/>
            <color indexed="81"/>
            <rFont val="Tahoma"/>
            <family val="2"/>
          </rPr>
          <t xml:space="preserve">
</t>
        </r>
      </text>
    </comment>
    <comment ref="C2" authorId="0" shapeId="0" xr:uid="{FC87D5EF-5724-42E8-A94C-3D5FE70E2698}">
      <text>
        <r>
          <rPr>
            <b/>
            <sz val="8"/>
            <color indexed="81"/>
            <rFont val="Tahoma"/>
            <family val="2"/>
          </rPr>
          <t>Total expenditures for all grant years recorded in LOCCS</t>
        </r>
        <r>
          <rPr>
            <sz val="8"/>
            <color indexed="81"/>
            <rFont val="Tahoma"/>
            <family val="2"/>
          </rPr>
          <t xml:space="preserve">
</t>
        </r>
      </text>
    </comment>
    <comment ref="D2" authorId="0" shapeId="0" xr:uid="{42A0D889-EC29-4FC6-91BB-DDA0BCFD09B2}">
      <text>
        <r>
          <rPr>
            <b/>
            <sz val="8"/>
            <color indexed="81"/>
            <rFont val="Tahoma"/>
            <family val="2"/>
          </rPr>
          <t>Column B minus Column C
Calculated from LOCCS data (all grants less all expenditures)</t>
        </r>
      </text>
    </comment>
    <comment ref="E2" authorId="0" shapeId="0" xr:uid="{3E404EF9-176D-4D79-BF43-A527EF81BC86}">
      <text>
        <r>
          <rPr>
            <b/>
            <sz val="8"/>
            <color indexed="81"/>
            <rFont val="Tahoma"/>
            <family val="2"/>
          </rPr>
          <t>Total of previous 12 months expenditures recorded in LOCCS</t>
        </r>
      </text>
    </comment>
    <comment ref="F2" authorId="0" shapeId="0" xr:uid="{233898A2-A387-46B7-A5FE-AC22EF0C75FE}">
      <text>
        <r>
          <rPr>
            <b/>
            <sz val="8"/>
            <color indexed="81"/>
            <rFont val="Tahoma"/>
            <family val="2"/>
          </rPr>
          <t xml:space="preserve">
As shown in LOCCS</t>
        </r>
      </text>
    </comment>
    <comment ref="G2" authorId="0" shapeId="0" xr:uid="{3F59E70D-33D4-44DE-888A-25B796F26F08}">
      <text>
        <r>
          <rPr>
            <b/>
            <sz val="8"/>
            <color indexed="81"/>
            <rFont val="Tahoma"/>
            <family val="2"/>
          </rPr>
          <t>Column D divided by Column F
Indicates # of years of funds available in terms of latest grant amt.</t>
        </r>
      </text>
    </comment>
    <comment ref="H2" authorId="0" shapeId="0" xr:uid="{4FD77E61-6AE7-4762-AEDB-FD3833DF2737}">
      <text>
        <r>
          <rPr>
            <b/>
            <sz val="8"/>
            <color indexed="81"/>
            <rFont val="Tahoma"/>
            <family val="2"/>
          </rPr>
          <t>Column E divided by Column F
This draw-down rate should be 1 or more to avoid increasing balances.</t>
        </r>
      </text>
    </comment>
    <comment ref="I2" authorId="0" shapeId="0" xr:uid="{971B0AB4-9E29-4BDD-854E-95E426007748}">
      <text>
        <r>
          <rPr>
            <b/>
            <sz val="8"/>
            <color indexed="81"/>
            <rFont val="Tahoma"/>
            <family val="2"/>
          </rPr>
          <t>Column E divided by 12
Indicates average dollar amount spent each of the last 12 months.</t>
        </r>
      </text>
    </comment>
    <comment ref="J2" authorId="0" shapeId="0" xr:uid="{C455A156-905E-40D3-8F24-20589A80ABDB}">
      <text>
        <r>
          <rPr>
            <b/>
            <sz val="8"/>
            <color indexed="81"/>
            <rFont val="Tahoma"/>
            <family val="2"/>
          </rPr>
          <t>Indicates the number of months remaining until 60 days before end of current Program Year.</t>
        </r>
      </text>
    </comment>
    <comment ref="K2" authorId="0" shapeId="0" xr:uid="{BC041853-3BA4-4DCD-B392-CF9AEF16654F}">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E0BE4A11-802C-4E38-AC64-A71BD58C4EB1}">
      <text>
        <r>
          <rPr>
            <b/>
            <sz val="8"/>
            <color indexed="81"/>
            <rFont val="Tahoma"/>
            <family val="2"/>
          </rPr>
          <t>Monthly expenditure in dollars required to reduce unexpended balance to 2 times most recent grant amount by 60 days prior to end of current Program Year.</t>
        </r>
      </text>
    </comment>
    <comment ref="M2" authorId="0" shapeId="0" xr:uid="{0B8C2DAF-C9E2-4003-9EE5-6588E11C743D}">
      <text>
        <r>
          <rPr>
            <b/>
            <sz val="8"/>
            <color indexed="81"/>
            <rFont val="Tahoma"/>
            <family val="2"/>
          </rPr>
          <t>Monthly expenditure in dollars required to reduce unexpended balance to 2.5 times most recent grant amount by 60 days prior to end of current Program Year.</t>
        </r>
      </text>
    </comment>
    <comment ref="N2" authorId="0" shapeId="0" xr:uid="{19632FAF-7219-4549-BBFF-19CD0C021D36}">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486D2A41-B1FE-4330-8323-74B493C0DD42}">
      <text>
        <r>
          <rPr>
            <b/>
            <sz val="8"/>
            <color indexed="81"/>
            <rFont val="Tahoma"/>
            <family val="2"/>
          </rPr>
          <t xml:space="preserve">Starting date for the State's current Program Year
</t>
        </r>
      </text>
    </comment>
    <comment ref="P2" authorId="0" shapeId="0" xr:uid="{22F936DB-2BB3-4344-8FE2-106CE7A3F091}">
      <text>
        <r>
          <rPr>
            <b/>
            <sz val="8"/>
            <color indexed="81"/>
            <rFont val="Tahoma"/>
            <family val="2"/>
          </rPr>
          <t>Column C minus prior month's Column C
Calculated from LOCCS data (all expenditures less all expenditures thru prior month)</t>
        </r>
      </text>
    </comment>
    <comment ref="Q2" authorId="0" shapeId="0" xr:uid="{30FEB252-BC26-440D-BE82-2A52CA69A1F5}">
      <text>
        <r>
          <rPr>
            <b/>
            <sz val="8"/>
            <color indexed="81"/>
            <rFont val="Tahoma"/>
            <family val="2"/>
          </rPr>
          <t>Month when the most recent grant amount changed in LOCCS.  If change occurred outside range, cell indicates "over 18 months ago".</t>
        </r>
      </text>
    </comment>
    <comment ref="N6" authorId="1" shapeId="0" xr:uid="{95719FFC-2724-41D4-89C7-59AE96553A21}">
      <text>
        <r>
          <rPr>
            <sz val="8"/>
            <color indexed="81"/>
            <rFont val="Tahoma"/>
            <family val="2"/>
          </rPr>
          <t xml:space="preserve">State changed PY start to July 1 for 2010 PY. 
PY 2009 extended to 18 months (1 Jan '09 - 30 Jun '10).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68D9FFBA-C9B3-463B-98C8-F5F6AC82507C}">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41BA340C-BC03-4E6B-B5FD-62626F1B00EC}">
      <text>
        <r>
          <rPr>
            <b/>
            <sz val="8"/>
            <color indexed="81"/>
            <rFont val="Tahoma"/>
            <family val="2"/>
          </rPr>
          <t>Total Grants for all years listed in LOCCS</t>
        </r>
        <r>
          <rPr>
            <sz val="8"/>
            <color indexed="81"/>
            <rFont val="Tahoma"/>
            <family val="2"/>
          </rPr>
          <t xml:space="preserve">
</t>
        </r>
      </text>
    </comment>
    <comment ref="C2" authorId="0" shapeId="0" xr:uid="{74BA9CBB-51F6-48C5-A0A1-61518FC032B9}">
      <text>
        <r>
          <rPr>
            <b/>
            <sz val="8"/>
            <color indexed="81"/>
            <rFont val="Tahoma"/>
            <family val="2"/>
          </rPr>
          <t>Total expenditures for all grant years recorded in LOCCS</t>
        </r>
        <r>
          <rPr>
            <sz val="8"/>
            <color indexed="81"/>
            <rFont val="Tahoma"/>
            <family val="2"/>
          </rPr>
          <t xml:space="preserve">
</t>
        </r>
      </text>
    </comment>
    <comment ref="D2" authorId="0" shapeId="0" xr:uid="{A6B8CDF9-3771-49BA-9DB5-F2ACF6ED4E36}">
      <text>
        <r>
          <rPr>
            <b/>
            <sz val="8"/>
            <color indexed="81"/>
            <rFont val="Tahoma"/>
            <family val="2"/>
          </rPr>
          <t>Column B minus Column C
Calculated from LOCCS data (all grants less all expenditures)</t>
        </r>
      </text>
    </comment>
    <comment ref="E2" authorId="0" shapeId="0" xr:uid="{01BA4CD7-B51D-4B4F-881B-13F619C6A93E}">
      <text>
        <r>
          <rPr>
            <b/>
            <sz val="8"/>
            <color indexed="81"/>
            <rFont val="Tahoma"/>
            <family val="2"/>
          </rPr>
          <t>Total of previous 12 months expenditures recorded in LOCCS</t>
        </r>
      </text>
    </comment>
    <comment ref="F2" authorId="0" shapeId="0" xr:uid="{442365F1-F43C-4C7F-AF25-487F7474BC43}">
      <text>
        <r>
          <rPr>
            <b/>
            <sz val="8"/>
            <color indexed="81"/>
            <rFont val="Tahoma"/>
            <family val="2"/>
          </rPr>
          <t xml:space="preserve">
As shown in LOCCS</t>
        </r>
      </text>
    </comment>
    <comment ref="G2" authorId="0" shapeId="0" xr:uid="{C88C3D7F-CFC4-404F-B9A7-C24FD6188F0A}">
      <text>
        <r>
          <rPr>
            <b/>
            <sz val="8"/>
            <color indexed="81"/>
            <rFont val="Tahoma"/>
            <family val="2"/>
          </rPr>
          <t>Column D divided by Column F
Indicates # of years of funds available in terms of latest grant amt.</t>
        </r>
      </text>
    </comment>
    <comment ref="H2" authorId="0" shapeId="0" xr:uid="{EA80904A-8FD9-48D2-AE1D-E7A1C1A3A1EE}">
      <text>
        <r>
          <rPr>
            <b/>
            <sz val="8"/>
            <color indexed="81"/>
            <rFont val="Tahoma"/>
            <family val="2"/>
          </rPr>
          <t>Column E divided by Column F
This draw-down rate should be 1 or more to avoid increasing balances.</t>
        </r>
      </text>
    </comment>
    <comment ref="I2" authorId="0" shapeId="0" xr:uid="{0C406148-CC7D-46D6-AFD3-7CD0DED947D5}">
      <text>
        <r>
          <rPr>
            <b/>
            <sz val="8"/>
            <color indexed="81"/>
            <rFont val="Tahoma"/>
            <family val="2"/>
          </rPr>
          <t>Column E divided by 12
Indicates average dollar amount spent each of the last 12 months.</t>
        </r>
      </text>
    </comment>
    <comment ref="J2" authorId="0" shapeId="0" xr:uid="{8290A86B-792F-4671-9E8F-43DBEE03ACF1}">
      <text>
        <r>
          <rPr>
            <b/>
            <sz val="8"/>
            <color indexed="81"/>
            <rFont val="Tahoma"/>
            <family val="2"/>
          </rPr>
          <t>Indicates the number of months remaining until 60 days before end of current Program Year.</t>
        </r>
      </text>
    </comment>
    <comment ref="K2" authorId="0" shapeId="0" xr:uid="{D4DAB6D1-A869-4FC2-A3E4-4DC347EE7B7C}">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4863CC1C-CB0F-4FC5-802D-CF6DC7458CF0}">
      <text>
        <r>
          <rPr>
            <b/>
            <sz val="8"/>
            <color indexed="81"/>
            <rFont val="Tahoma"/>
            <family val="2"/>
          </rPr>
          <t>Monthly expenditure in dollars required to reduce unexpended balance to 2 times most recent grant amount by 60 days prior to end of current Program Year.</t>
        </r>
      </text>
    </comment>
    <comment ref="M2" authorId="0" shapeId="0" xr:uid="{2DC20306-E01D-411F-9C25-9A7E0A76283C}">
      <text>
        <r>
          <rPr>
            <b/>
            <sz val="8"/>
            <color indexed="81"/>
            <rFont val="Tahoma"/>
            <family val="2"/>
          </rPr>
          <t>Monthly expenditure in dollars required to reduce unexpended balance to 2.5 times most recent grant amount by 60 days prior to end of current Program Year.</t>
        </r>
      </text>
    </comment>
    <comment ref="N2" authorId="0" shapeId="0" xr:uid="{AF35BEA8-4440-42CB-9CA1-F30F47727B78}">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A09FC370-4973-4F91-AB70-D634E7008E1E}">
      <text>
        <r>
          <rPr>
            <b/>
            <sz val="8"/>
            <color indexed="81"/>
            <rFont val="Tahoma"/>
            <family val="2"/>
          </rPr>
          <t xml:space="preserve">Starting date for the State's current Program Year
</t>
        </r>
      </text>
    </comment>
    <comment ref="P2" authorId="0" shapeId="0" xr:uid="{12D73835-E6A9-4ED2-BD12-D9E5265460C7}">
      <text>
        <r>
          <rPr>
            <b/>
            <sz val="8"/>
            <color indexed="81"/>
            <rFont val="Tahoma"/>
            <family val="2"/>
          </rPr>
          <t>Column C minus prior month's Column C
Calculated from LOCCS data (all expenditures less all expenditures thru prior month)</t>
        </r>
      </text>
    </comment>
    <comment ref="Q2" authorId="0" shapeId="0" xr:uid="{78CE2660-FB7C-4E27-A753-C42D5ABB55B6}">
      <text>
        <r>
          <rPr>
            <b/>
            <sz val="8"/>
            <color indexed="81"/>
            <rFont val="Tahoma"/>
            <family val="2"/>
          </rPr>
          <t>Month when the most recent grant amount changed in LOCCS.  If change occurred outside range, cell indicates "over 18 months ago".</t>
        </r>
      </text>
    </comment>
    <comment ref="N6" authorId="1" shapeId="0" xr:uid="{CF17E109-A0AC-4777-8861-2A75CE111FA4}">
      <text>
        <r>
          <rPr>
            <sz val="8"/>
            <color indexed="81"/>
            <rFont val="Tahoma"/>
            <family val="2"/>
          </rPr>
          <t xml:space="preserve">State changed PY start to July 1 for 2010 PY. 
PY 2009 extended to 18 months (1 Jan '09 - 30 Jun '10).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B9626BE5-AE07-427C-8A65-617FA0DF9F1A}">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51912C22-1694-4408-BD1D-A1015DA490A1}">
      <text>
        <r>
          <rPr>
            <b/>
            <sz val="8"/>
            <color indexed="81"/>
            <rFont val="Tahoma"/>
            <family val="2"/>
          </rPr>
          <t>Total Grants for all years listed in LOCCS</t>
        </r>
        <r>
          <rPr>
            <sz val="8"/>
            <color indexed="81"/>
            <rFont val="Tahoma"/>
            <family val="2"/>
          </rPr>
          <t xml:space="preserve">
</t>
        </r>
      </text>
    </comment>
    <comment ref="C2" authorId="0" shapeId="0" xr:uid="{BA359393-80FF-4F41-9447-6B3571D1F88D}">
      <text>
        <r>
          <rPr>
            <b/>
            <sz val="8"/>
            <color indexed="81"/>
            <rFont val="Tahoma"/>
            <family val="2"/>
          </rPr>
          <t>Total expenditures for all grant years recorded in LOCCS</t>
        </r>
        <r>
          <rPr>
            <sz val="8"/>
            <color indexed="81"/>
            <rFont val="Tahoma"/>
            <family val="2"/>
          </rPr>
          <t xml:space="preserve">
</t>
        </r>
      </text>
    </comment>
    <comment ref="D2" authorId="0" shapeId="0" xr:uid="{5BBBD663-474B-4E14-ACCD-F33B9299CCDD}">
      <text>
        <r>
          <rPr>
            <b/>
            <sz val="8"/>
            <color indexed="81"/>
            <rFont val="Tahoma"/>
            <family val="2"/>
          </rPr>
          <t>Column B minus Column C
Calculated from LOCCS data (all grants less all expenditures)</t>
        </r>
      </text>
    </comment>
    <comment ref="E2" authorId="0" shapeId="0" xr:uid="{3FF96DBB-944A-483C-BA4E-F36C20427478}">
      <text>
        <r>
          <rPr>
            <b/>
            <sz val="8"/>
            <color indexed="81"/>
            <rFont val="Tahoma"/>
            <family val="2"/>
          </rPr>
          <t>Total of previous 12 months expenditures recorded in LOCCS</t>
        </r>
      </text>
    </comment>
    <comment ref="F2" authorId="0" shapeId="0" xr:uid="{FF6D77FE-704E-427D-844F-1E8083ABCFA3}">
      <text>
        <r>
          <rPr>
            <b/>
            <sz val="8"/>
            <color indexed="81"/>
            <rFont val="Tahoma"/>
            <family val="2"/>
          </rPr>
          <t xml:space="preserve">
As shown in LOCCS</t>
        </r>
      </text>
    </comment>
    <comment ref="G2" authorId="0" shapeId="0" xr:uid="{12E16EDB-47B5-45D5-8FF8-FA5BB3114ECD}">
      <text>
        <r>
          <rPr>
            <b/>
            <sz val="8"/>
            <color indexed="81"/>
            <rFont val="Tahoma"/>
            <family val="2"/>
          </rPr>
          <t>Column D divided by Column F
Indicates # of years of funds available in terms of latest grant amt.</t>
        </r>
      </text>
    </comment>
    <comment ref="H2" authorId="0" shapeId="0" xr:uid="{9B3AC25B-7F3F-46BF-BDF3-D14384655157}">
      <text>
        <r>
          <rPr>
            <b/>
            <sz val="8"/>
            <color indexed="81"/>
            <rFont val="Tahoma"/>
            <family val="2"/>
          </rPr>
          <t>Column E divided by Column F
This draw-down rate should be 1 or more to avoid increasing balances.</t>
        </r>
      </text>
    </comment>
    <comment ref="I2" authorId="0" shapeId="0" xr:uid="{797BC962-50A4-44D9-A3C8-1008F7860485}">
      <text>
        <r>
          <rPr>
            <b/>
            <sz val="8"/>
            <color indexed="81"/>
            <rFont val="Tahoma"/>
            <family val="2"/>
          </rPr>
          <t>Column E divided by 12
Indicates average dollar amount spent each of the last 12 months.</t>
        </r>
      </text>
    </comment>
    <comment ref="J2" authorId="0" shapeId="0" xr:uid="{C49D20CA-CB10-44E7-82CC-CEF7342A688A}">
      <text>
        <r>
          <rPr>
            <b/>
            <sz val="8"/>
            <color indexed="81"/>
            <rFont val="Tahoma"/>
            <family val="2"/>
          </rPr>
          <t>Indicates the number of months remaining until 60 days before end of current Program Year.</t>
        </r>
      </text>
    </comment>
    <comment ref="K2" authorId="0" shapeId="0" xr:uid="{92D1B830-7CB8-48EE-A41E-745CEC3026CA}">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C9396C66-9B36-4F1E-9395-9A8E2B0C873F}">
      <text>
        <r>
          <rPr>
            <b/>
            <sz val="8"/>
            <color indexed="81"/>
            <rFont val="Tahoma"/>
            <family val="2"/>
          </rPr>
          <t>Monthly expenditure in dollars required to reduce unexpended balance to 2 times most recent grant amount by 60 days prior to end of current Program Year.</t>
        </r>
      </text>
    </comment>
    <comment ref="M2" authorId="0" shapeId="0" xr:uid="{B8582E4D-D87D-4B5C-BA40-329565B7ACB6}">
      <text>
        <r>
          <rPr>
            <b/>
            <sz val="8"/>
            <color indexed="81"/>
            <rFont val="Tahoma"/>
            <family val="2"/>
          </rPr>
          <t>Monthly expenditure in dollars required to reduce unexpended balance to 2.5 times most recent grant amount by 60 days prior to end of current Program Year.</t>
        </r>
      </text>
    </comment>
    <comment ref="N2" authorId="0" shapeId="0" xr:uid="{B471866F-F549-43D2-9576-C7B71D94AC4E}">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D5BF1BC8-B2B0-4B83-AB23-FBA976250D7A}">
      <text>
        <r>
          <rPr>
            <b/>
            <sz val="8"/>
            <color indexed="81"/>
            <rFont val="Tahoma"/>
            <family val="2"/>
          </rPr>
          <t xml:space="preserve">Starting date for the State's current Program Year
</t>
        </r>
      </text>
    </comment>
    <comment ref="P2" authorId="0" shapeId="0" xr:uid="{27239AAD-C7FC-44CC-B06F-CAA52862B5ED}">
      <text>
        <r>
          <rPr>
            <b/>
            <sz val="8"/>
            <color indexed="81"/>
            <rFont val="Tahoma"/>
            <family val="2"/>
          </rPr>
          <t>Column C minus prior month's Column C
Calculated from LOCCS data (all expenditures less all expenditures thru prior month)</t>
        </r>
      </text>
    </comment>
    <comment ref="Q2" authorId="0" shapeId="0" xr:uid="{BA324130-AE6D-430A-ABC2-B4AE7CC371B6}">
      <text>
        <r>
          <rPr>
            <b/>
            <sz val="8"/>
            <color indexed="81"/>
            <rFont val="Tahoma"/>
            <family val="2"/>
          </rPr>
          <t>Month when the most recent grant amount changed in LOCCS.  If change occurred outside range, cell indicates "over 18 months ago".</t>
        </r>
      </text>
    </comment>
    <comment ref="N5" authorId="1" shapeId="0" xr:uid="{CE90CB0D-1003-4001-8D9C-463B4F82CA6B}">
      <text>
        <r>
          <rPr>
            <sz val="8"/>
            <color indexed="81"/>
            <rFont val="Tahoma"/>
            <family val="2"/>
          </rPr>
          <t xml:space="preserve">State changed PY start to July 1 for 2010 PY. 
PY 2009 extended to 18 months (1 Jan '09 - 30 Jun '10).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5E50AEBA-E5A8-416D-B529-7ADCFCBCB0FD}">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2C6DF2F4-52A7-4E39-8E80-6A66DBD3CF5F}">
      <text>
        <r>
          <rPr>
            <b/>
            <sz val="8"/>
            <color indexed="81"/>
            <rFont val="Tahoma"/>
            <family val="2"/>
          </rPr>
          <t>Total Grants for all years listed in LOCCS</t>
        </r>
        <r>
          <rPr>
            <sz val="8"/>
            <color indexed="81"/>
            <rFont val="Tahoma"/>
            <family val="2"/>
          </rPr>
          <t xml:space="preserve">
</t>
        </r>
      </text>
    </comment>
    <comment ref="C2" authorId="0" shapeId="0" xr:uid="{E72C3AD4-E0E9-4C8B-98AC-30F6EAE8DE71}">
      <text>
        <r>
          <rPr>
            <b/>
            <sz val="8"/>
            <color indexed="81"/>
            <rFont val="Tahoma"/>
            <family val="2"/>
          </rPr>
          <t>Total expenditures for all grant years recorded in LOCCS</t>
        </r>
        <r>
          <rPr>
            <sz val="8"/>
            <color indexed="81"/>
            <rFont val="Tahoma"/>
            <family val="2"/>
          </rPr>
          <t xml:space="preserve">
</t>
        </r>
      </text>
    </comment>
    <comment ref="D2" authorId="0" shapeId="0" xr:uid="{0A23AD05-4F50-436F-AE2A-5AAB1A14D9B5}">
      <text>
        <r>
          <rPr>
            <b/>
            <sz val="8"/>
            <color indexed="81"/>
            <rFont val="Tahoma"/>
            <family val="2"/>
          </rPr>
          <t>Column B minus Column C
Calculated from LOCCS data (all grants less all expenditures)</t>
        </r>
      </text>
    </comment>
    <comment ref="E2" authorId="0" shapeId="0" xr:uid="{04DAB525-2C8B-4B0B-B0E9-5F5D62E68DF6}">
      <text>
        <r>
          <rPr>
            <b/>
            <sz val="8"/>
            <color indexed="81"/>
            <rFont val="Tahoma"/>
            <family val="2"/>
          </rPr>
          <t>Total of previous 12 months expenditures recorded in LOCCS</t>
        </r>
      </text>
    </comment>
    <comment ref="F2" authorId="0" shapeId="0" xr:uid="{27923965-214A-4636-BFFA-7769FE3C1195}">
      <text>
        <r>
          <rPr>
            <b/>
            <sz val="8"/>
            <color indexed="81"/>
            <rFont val="Tahoma"/>
            <family val="2"/>
          </rPr>
          <t xml:space="preserve">
As shown in LOCCS</t>
        </r>
      </text>
    </comment>
    <comment ref="G2" authorId="0" shapeId="0" xr:uid="{73229A78-8B4D-4739-888D-103669705B9C}">
      <text>
        <r>
          <rPr>
            <b/>
            <sz val="8"/>
            <color indexed="81"/>
            <rFont val="Tahoma"/>
            <family val="2"/>
          </rPr>
          <t>Column D divided by Column F
Indicates # of years of funds available in terms of latest grant amt.</t>
        </r>
      </text>
    </comment>
    <comment ref="H2" authorId="0" shapeId="0" xr:uid="{8D464851-D122-4FBC-8A36-AF323623B80C}">
      <text>
        <r>
          <rPr>
            <b/>
            <sz val="8"/>
            <color indexed="81"/>
            <rFont val="Tahoma"/>
            <family val="2"/>
          </rPr>
          <t>Column E divided by Column F
This draw-down rate should be 1 or more to avoid increasing balances.</t>
        </r>
      </text>
    </comment>
    <comment ref="I2" authorId="0" shapeId="0" xr:uid="{E0931323-C1BD-4C90-944C-2667DF6E03C6}">
      <text>
        <r>
          <rPr>
            <b/>
            <sz val="8"/>
            <color indexed="81"/>
            <rFont val="Tahoma"/>
            <family val="2"/>
          </rPr>
          <t>Column E divided by 12
Indicates average dollar amount spent each of the last 12 months.</t>
        </r>
      </text>
    </comment>
    <comment ref="J2" authorId="0" shapeId="0" xr:uid="{9BC924B9-4FA4-4FFC-8BA5-9377CF9C5339}">
      <text>
        <r>
          <rPr>
            <b/>
            <sz val="8"/>
            <color indexed="81"/>
            <rFont val="Tahoma"/>
            <family val="2"/>
          </rPr>
          <t>Indicates the number of months remaining until 60 days before end of current Program Year.</t>
        </r>
      </text>
    </comment>
    <comment ref="K2" authorId="0" shapeId="0" xr:uid="{1782535B-0A30-4459-9B76-032076B54491}">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E96DCF10-D83D-4544-9E94-6BFE640C30A2}">
      <text>
        <r>
          <rPr>
            <b/>
            <sz val="8"/>
            <color indexed="81"/>
            <rFont val="Tahoma"/>
            <family val="2"/>
          </rPr>
          <t>Monthly expenditure in dollars required to reduce unexpended balance to 2 times most recent grant amount by 60 days prior to end of current Program Year.</t>
        </r>
      </text>
    </comment>
    <comment ref="M2" authorId="0" shapeId="0" xr:uid="{27E498B9-2B46-4718-961B-C552B6ACB4B8}">
      <text>
        <r>
          <rPr>
            <b/>
            <sz val="8"/>
            <color indexed="81"/>
            <rFont val="Tahoma"/>
            <family val="2"/>
          </rPr>
          <t>Monthly expenditure in dollars required to reduce unexpended balance to 2.5 times most recent grant amount by 60 days prior to end of current Program Year.</t>
        </r>
      </text>
    </comment>
    <comment ref="N2" authorId="0" shapeId="0" xr:uid="{71414CD4-201E-45A4-93A2-7BF992494900}">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1BA1CAC3-58DE-429E-93EF-96675EC123E8}">
      <text>
        <r>
          <rPr>
            <b/>
            <sz val="8"/>
            <color indexed="81"/>
            <rFont val="Tahoma"/>
            <family val="2"/>
          </rPr>
          <t xml:space="preserve">Starting date for the State's current Program Year
</t>
        </r>
      </text>
    </comment>
    <comment ref="P2" authorId="0" shapeId="0" xr:uid="{EF4B9372-849B-49B7-AB3B-405D7CA4A989}">
      <text>
        <r>
          <rPr>
            <b/>
            <sz val="8"/>
            <color indexed="81"/>
            <rFont val="Tahoma"/>
            <family val="2"/>
          </rPr>
          <t>Column C minus prior month's Column C
Calculated from LOCCS data (all expenditures less all expenditures thru prior month)</t>
        </r>
      </text>
    </comment>
    <comment ref="Q2" authorId="0" shapeId="0" xr:uid="{F9D20CC4-20F6-4279-9475-BFBA9EF71A77}">
      <text>
        <r>
          <rPr>
            <b/>
            <sz val="8"/>
            <color indexed="81"/>
            <rFont val="Tahoma"/>
            <family val="2"/>
          </rPr>
          <t>Month when the most recent grant amount changed in LOCCS.  If change occurred outside range, cell indicates "over 18 months ago".</t>
        </r>
      </text>
    </comment>
    <comment ref="N4" authorId="1" shapeId="0" xr:uid="{50FE6BB2-852F-46EE-8C9A-AF22329D4F99}">
      <text>
        <r>
          <rPr>
            <sz val="8"/>
            <color indexed="81"/>
            <rFont val="Tahoma"/>
            <family val="2"/>
          </rPr>
          <t xml:space="preserve">State changed PY start to July 1 for 2010 PY. 
PY 2009 extended to 18 months (1 Jan '09 - 30 Jun '10).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1BCD6A13-A3A5-4979-9AD3-6E06E7556245}">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688A80AC-4914-4667-975C-1BEA69741CF8}">
      <text>
        <r>
          <rPr>
            <b/>
            <sz val="8"/>
            <color indexed="81"/>
            <rFont val="Tahoma"/>
            <family val="2"/>
          </rPr>
          <t>Total Grants for all years listed in LOCCS</t>
        </r>
        <r>
          <rPr>
            <sz val="8"/>
            <color indexed="81"/>
            <rFont val="Tahoma"/>
            <family val="2"/>
          </rPr>
          <t xml:space="preserve">
</t>
        </r>
      </text>
    </comment>
    <comment ref="C2" authorId="0" shapeId="0" xr:uid="{46D47D6C-FDC8-4FDF-88B5-B50302E7A76D}">
      <text>
        <r>
          <rPr>
            <b/>
            <sz val="8"/>
            <color indexed="81"/>
            <rFont val="Tahoma"/>
            <family val="2"/>
          </rPr>
          <t>Total expenditures for all grant years recorded in LOCCS</t>
        </r>
        <r>
          <rPr>
            <sz val="8"/>
            <color indexed="81"/>
            <rFont val="Tahoma"/>
            <family val="2"/>
          </rPr>
          <t xml:space="preserve">
</t>
        </r>
      </text>
    </comment>
    <comment ref="D2" authorId="0" shapeId="0" xr:uid="{9B1B9A3F-FCA1-4AD5-A57B-1142B7C2BDD7}">
      <text>
        <r>
          <rPr>
            <b/>
            <sz val="8"/>
            <color indexed="81"/>
            <rFont val="Tahoma"/>
            <family val="2"/>
          </rPr>
          <t>Column B minus Column C
Calculated from LOCCS data (all grants less all expenditures)</t>
        </r>
      </text>
    </comment>
    <comment ref="E2" authorId="0" shapeId="0" xr:uid="{8485379E-A847-4BFC-ACC1-7FCE29395C29}">
      <text>
        <r>
          <rPr>
            <b/>
            <sz val="8"/>
            <color indexed="81"/>
            <rFont val="Tahoma"/>
            <family val="2"/>
          </rPr>
          <t>Total of previous 12 months expenditures recorded in LOCCS</t>
        </r>
      </text>
    </comment>
    <comment ref="F2" authorId="0" shapeId="0" xr:uid="{D8E5E771-8A5C-4FBA-918D-64B4B9D436B2}">
      <text>
        <r>
          <rPr>
            <b/>
            <sz val="8"/>
            <color indexed="81"/>
            <rFont val="Tahoma"/>
            <family val="2"/>
          </rPr>
          <t xml:space="preserve">
As shown in LOCCS</t>
        </r>
      </text>
    </comment>
    <comment ref="G2" authorId="0" shapeId="0" xr:uid="{B7454DCB-B20F-4E5D-87F4-A5006C20E733}">
      <text>
        <r>
          <rPr>
            <b/>
            <sz val="8"/>
            <color indexed="81"/>
            <rFont val="Tahoma"/>
            <family val="2"/>
          </rPr>
          <t>Column D divided by Column F
Indicates # of years of funds available in terms of latest grant amt.</t>
        </r>
      </text>
    </comment>
    <comment ref="H2" authorId="0" shapeId="0" xr:uid="{9890CABD-DE5E-4DE8-9E45-571226E60BB4}">
      <text>
        <r>
          <rPr>
            <b/>
            <sz val="8"/>
            <color indexed="81"/>
            <rFont val="Tahoma"/>
            <family val="2"/>
          </rPr>
          <t>Column E divided by Column F
This draw-down rate should be 1 or more to avoid increasing balances.</t>
        </r>
      </text>
    </comment>
    <comment ref="I2" authorId="0" shapeId="0" xr:uid="{29F5AF91-DFE8-484C-9449-50E752C6FAE6}">
      <text>
        <r>
          <rPr>
            <b/>
            <sz val="8"/>
            <color indexed="81"/>
            <rFont val="Tahoma"/>
            <family val="2"/>
          </rPr>
          <t>Column E divided by 12
Indicates average dollar amount spent each of the last 12 months.</t>
        </r>
      </text>
    </comment>
    <comment ref="J2" authorId="0" shapeId="0" xr:uid="{6DC06A3A-9913-4A26-AF46-43377ED78BBD}">
      <text>
        <r>
          <rPr>
            <b/>
            <sz val="8"/>
            <color indexed="81"/>
            <rFont val="Tahoma"/>
            <family val="2"/>
          </rPr>
          <t>Indicates the number of months remaining until 60 days before end of current Program Year.</t>
        </r>
      </text>
    </comment>
    <comment ref="K2" authorId="0" shapeId="0" xr:uid="{2FE2665F-BC8F-4074-9082-16F37CBF65F3}">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1BA7FEE4-6B31-4D25-A355-C1C20EA60AB0}">
      <text>
        <r>
          <rPr>
            <b/>
            <sz val="8"/>
            <color indexed="81"/>
            <rFont val="Tahoma"/>
            <family val="2"/>
          </rPr>
          <t>Monthly expenditure in dollars required to reduce unexpended balance to 2 times most recent grant amount by 60 days prior to end of current Program Year.</t>
        </r>
      </text>
    </comment>
    <comment ref="M2" authorId="0" shapeId="0" xr:uid="{4ED505F7-EA40-4D36-98DC-4181DC30A5A8}">
      <text>
        <r>
          <rPr>
            <b/>
            <sz val="8"/>
            <color indexed="81"/>
            <rFont val="Tahoma"/>
            <family val="2"/>
          </rPr>
          <t>Monthly expenditure in dollars required to reduce unexpended balance to 2.5 times most recent grant amount by 60 days prior to end of current Program Year.</t>
        </r>
      </text>
    </comment>
    <comment ref="N2" authorId="0" shapeId="0" xr:uid="{8CC510F5-64C7-4C16-9BBF-A4520B868E69}">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579A6EC8-50DB-4729-922D-331A27F09467}">
      <text>
        <r>
          <rPr>
            <b/>
            <sz val="8"/>
            <color indexed="81"/>
            <rFont val="Tahoma"/>
            <family val="2"/>
          </rPr>
          <t xml:space="preserve">Starting date for the State's current Program Year
</t>
        </r>
      </text>
    </comment>
    <comment ref="P2" authorId="0" shapeId="0" xr:uid="{697D4E12-BF57-4C52-B6C5-71117BF4E017}">
      <text>
        <r>
          <rPr>
            <b/>
            <sz val="8"/>
            <color indexed="81"/>
            <rFont val="Tahoma"/>
            <family val="2"/>
          </rPr>
          <t>Column C minus prior month's Column C
Calculated from LOCCS data (all expenditures less all expenditures thru prior month)</t>
        </r>
      </text>
    </comment>
    <comment ref="Q2" authorId="0" shapeId="0" xr:uid="{412C8AE4-B467-4723-96CE-1F41A05E8BE9}">
      <text>
        <r>
          <rPr>
            <b/>
            <sz val="8"/>
            <color indexed="81"/>
            <rFont val="Tahoma"/>
            <family val="2"/>
          </rPr>
          <t>Month when the most recent grant amount changed in LOCCS.  If change occurred outside range, cell indicates "over 18 months ago".</t>
        </r>
      </text>
    </comment>
    <comment ref="N5" authorId="1" shapeId="0" xr:uid="{10514A46-D384-40FC-9D9B-4DD820EC5254}">
      <text>
        <r>
          <rPr>
            <sz val="8"/>
            <color indexed="81"/>
            <rFont val="Tahoma"/>
            <family val="2"/>
          </rPr>
          <t xml:space="preserve">State changed PY start to July 1 for 2010 PY. 
PY 2009 extended to 18 months (1 Jan '09 - 30 Jun '10).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ED178B20-C619-41E1-B1B2-77050658365D}">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89C69DC0-6E65-4EEB-9DB1-F514E5BAD9DC}">
      <text>
        <r>
          <rPr>
            <b/>
            <sz val="8"/>
            <color indexed="81"/>
            <rFont val="Tahoma"/>
            <family val="2"/>
          </rPr>
          <t>Total Grants for all years listed in LOCCS</t>
        </r>
        <r>
          <rPr>
            <sz val="8"/>
            <color indexed="81"/>
            <rFont val="Tahoma"/>
            <family val="2"/>
          </rPr>
          <t xml:space="preserve">
</t>
        </r>
      </text>
    </comment>
    <comment ref="C2" authorId="0" shapeId="0" xr:uid="{BD18246A-123E-47A2-AF23-C96E7D9DFFE9}">
      <text>
        <r>
          <rPr>
            <b/>
            <sz val="8"/>
            <color indexed="81"/>
            <rFont val="Tahoma"/>
            <family val="2"/>
          </rPr>
          <t>Total expenditures for all grant years recorded in LOCCS</t>
        </r>
        <r>
          <rPr>
            <sz val="8"/>
            <color indexed="81"/>
            <rFont val="Tahoma"/>
            <family val="2"/>
          </rPr>
          <t xml:space="preserve">
</t>
        </r>
      </text>
    </comment>
    <comment ref="D2" authorId="0" shapeId="0" xr:uid="{F46E7619-39F4-45DD-B995-4651E273E891}">
      <text>
        <r>
          <rPr>
            <b/>
            <sz val="8"/>
            <color indexed="81"/>
            <rFont val="Tahoma"/>
            <family val="2"/>
          </rPr>
          <t>Column B minus Column C
Calculated from LOCCS data (all grants less all expenditures)</t>
        </r>
      </text>
    </comment>
    <comment ref="E2" authorId="0" shapeId="0" xr:uid="{25ABE9F3-F6C1-4025-9518-81AAEF1E338F}">
      <text>
        <r>
          <rPr>
            <b/>
            <sz val="8"/>
            <color indexed="81"/>
            <rFont val="Tahoma"/>
            <family val="2"/>
          </rPr>
          <t>Total of previous 12 months expenditures recorded in LOCCS</t>
        </r>
      </text>
    </comment>
    <comment ref="F2" authorId="0" shapeId="0" xr:uid="{292E552C-8F70-45BD-8BA8-C8D5F55E76EF}">
      <text>
        <r>
          <rPr>
            <b/>
            <sz val="8"/>
            <color indexed="81"/>
            <rFont val="Tahoma"/>
            <family val="2"/>
          </rPr>
          <t xml:space="preserve">
As shown in LOCCS</t>
        </r>
      </text>
    </comment>
    <comment ref="G2" authorId="0" shapeId="0" xr:uid="{A774C384-FD63-4B91-B229-A05F251847E8}">
      <text>
        <r>
          <rPr>
            <b/>
            <sz val="8"/>
            <color indexed="81"/>
            <rFont val="Tahoma"/>
            <family val="2"/>
          </rPr>
          <t>Column D divided by Column F
Indicates # of years of funds available in terms of latest grant amt.</t>
        </r>
      </text>
    </comment>
    <comment ref="H2" authorId="0" shapeId="0" xr:uid="{5ABA5F2F-9144-463E-A885-A04CE819F2B0}">
      <text>
        <r>
          <rPr>
            <b/>
            <sz val="8"/>
            <color indexed="81"/>
            <rFont val="Tahoma"/>
            <family val="2"/>
          </rPr>
          <t>Column E divided by Column F
This draw-down rate should be 1 or more to avoid increasing balances.</t>
        </r>
      </text>
    </comment>
    <comment ref="I2" authorId="0" shapeId="0" xr:uid="{DE56304C-42F9-4368-B6BF-3B247B232F25}">
      <text>
        <r>
          <rPr>
            <b/>
            <sz val="8"/>
            <color indexed="81"/>
            <rFont val="Tahoma"/>
            <family val="2"/>
          </rPr>
          <t>Column E divided by 12
Indicates average dollar amount spent each of the last 12 months.</t>
        </r>
      </text>
    </comment>
    <comment ref="J2" authorId="0" shapeId="0" xr:uid="{CA93C3CA-B095-4834-80E2-7E77CAB823AA}">
      <text>
        <r>
          <rPr>
            <b/>
            <sz val="8"/>
            <color indexed="81"/>
            <rFont val="Tahoma"/>
            <family val="2"/>
          </rPr>
          <t>Indicates the number of months remaining until 60 days before end of current Program Year.</t>
        </r>
      </text>
    </comment>
    <comment ref="K2" authorId="0" shapeId="0" xr:uid="{0337DE82-417A-45BD-8978-AB0B25E9A726}">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731E0A7D-1D34-4D0C-BD53-989DF863E859}">
      <text>
        <r>
          <rPr>
            <b/>
            <sz val="8"/>
            <color indexed="81"/>
            <rFont val="Tahoma"/>
            <family val="2"/>
          </rPr>
          <t>Monthly expenditure in dollars required to reduce unexpended balance to 2 times most recent grant amount by 60 days prior to end of current Program Year.</t>
        </r>
      </text>
    </comment>
    <comment ref="M2" authorId="0" shapeId="0" xr:uid="{83395A70-7373-4F08-ADCE-4308FC2B9F2A}">
      <text>
        <r>
          <rPr>
            <b/>
            <sz val="8"/>
            <color indexed="81"/>
            <rFont val="Tahoma"/>
            <family val="2"/>
          </rPr>
          <t>Monthly expenditure in dollars required to reduce unexpended balance to 2.5 times most recent grant amount by 60 days prior to end of current Program Year.</t>
        </r>
      </text>
    </comment>
    <comment ref="N2" authorId="0" shapeId="0" xr:uid="{68EC3ECA-95A4-4165-A99C-7BD992A0E694}">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309F3D2B-00C7-4855-8BD5-094F40F5A111}">
      <text>
        <r>
          <rPr>
            <b/>
            <sz val="8"/>
            <color indexed="81"/>
            <rFont val="Tahoma"/>
            <family val="2"/>
          </rPr>
          <t xml:space="preserve">Starting date for the State's current Program Year
</t>
        </r>
      </text>
    </comment>
    <comment ref="P2" authorId="0" shapeId="0" xr:uid="{673C9E58-FFEC-4E49-A818-DB03B69C82DF}">
      <text>
        <r>
          <rPr>
            <b/>
            <sz val="8"/>
            <color indexed="81"/>
            <rFont val="Tahoma"/>
            <family val="2"/>
          </rPr>
          <t>Column C minus prior month's Column C
Calculated from LOCCS data (all expenditures less all expenditures thru prior month)</t>
        </r>
      </text>
    </comment>
    <comment ref="Q2" authorId="0" shapeId="0" xr:uid="{E468291A-4731-4159-9911-A3B674ACB287}">
      <text>
        <r>
          <rPr>
            <b/>
            <sz val="8"/>
            <color indexed="81"/>
            <rFont val="Tahoma"/>
            <family val="2"/>
          </rPr>
          <t>Month when the most recent grant amount changed in LOCCS.  If change occurred outside range, cell indicates "over 18 months ago".</t>
        </r>
      </text>
    </comment>
    <comment ref="N5" authorId="1" shapeId="0" xr:uid="{74A0DC26-5FE4-47D4-A7F5-C2023545A649}">
      <text>
        <r>
          <rPr>
            <sz val="8"/>
            <color indexed="81"/>
            <rFont val="Tahoma"/>
            <family val="2"/>
          </rPr>
          <t xml:space="preserve">State changed PY start to July 1 for 2010 PY. 
PY 2009 extended to 18 months (1 Jan '09 - 30 Jun '10).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3B0BD416-9C27-4312-9271-B421329123B2}">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43FA03B4-A4DE-473B-BBA2-F4DCBA582DDB}">
      <text>
        <r>
          <rPr>
            <b/>
            <sz val="8"/>
            <color indexed="81"/>
            <rFont val="Tahoma"/>
            <family val="2"/>
          </rPr>
          <t>Total Grants for all years listed in LOCCS</t>
        </r>
        <r>
          <rPr>
            <sz val="8"/>
            <color indexed="81"/>
            <rFont val="Tahoma"/>
            <family val="2"/>
          </rPr>
          <t xml:space="preserve">
</t>
        </r>
      </text>
    </comment>
    <comment ref="C2" authorId="0" shapeId="0" xr:uid="{491A62DD-FEF0-4DED-8295-714769C80BCA}">
      <text>
        <r>
          <rPr>
            <b/>
            <sz val="8"/>
            <color indexed="81"/>
            <rFont val="Tahoma"/>
            <family val="2"/>
          </rPr>
          <t>Total expenditures for all grant years recorded in LOCCS</t>
        </r>
        <r>
          <rPr>
            <sz val="8"/>
            <color indexed="81"/>
            <rFont val="Tahoma"/>
            <family val="2"/>
          </rPr>
          <t xml:space="preserve">
</t>
        </r>
      </text>
    </comment>
    <comment ref="D2" authorId="0" shapeId="0" xr:uid="{059E701F-AA27-4B52-BE9D-E491459141FF}">
      <text>
        <r>
          <rPr>
            <b/>
            <sz val="8"/>
            <color indexed="81"/>
            <rFont val="Tahoma"/>
            <family val="2"/>
          </rPr>
          <t>Column B minus Column C
Calculated from LOCCS data (all grants less all expenditures)</t>
        </r>
      </text>
    </comment>
    <comment ref="E2" authorId="0" shapeId="0" xr:uid="{3D5E53BB-D2D1-4C62-B38C-8C1C2C4580B2}">
      <text>
        <r>
          <rPr>
            <b/>
            <sz val="8"/>
            <color indexed="81"/>
            <rFont val="Tahoma"/>
            <family val="2"/>
          </rPr>
          <t>Total of previous 12 months expenditures recorded in LOCCS</t>
        </r>
      </text>
    </comment>
    <comment ref="F2" authorId="0" shapeId="0" xr:uid="{A923B013-DA2A-4EDA-9DAF-BA4CFD6D0D8D}">
      <text>
        <r>
          <rPr>
            <b/>
            <sz val="8"/>
            <color indexed="81"/>
            <rFont val="Tahoma"/>
            <family val="2"/>
          </rPr>
          <t xml:space="preserve">
As shown in LOCCS</t>
        </r>
      </text>
    </comment>
    <comment ref="G2" authorId="0" shapeId="0" xr:uid="{C19662CA-C7F8-44BF-BDE5-C849A0EDCD0F}">
      <text>
        <r>
          <rPr>
            <b/>
            <sz val="8"/>
            <color indexed="81"/>
            <rFont val="Tahoma"/>
            <family val="2"/>
          </rPr>
          <t>Column D divided by Column F
Indicates # of years of funds available in terms of latest grant amt.</t>
        </r>
      </text>
    </comment>
    <comment ref="H2" authorId="0" shapeId="0" xr:uid="{82C38F4F-2345-459E-9E3D-DB8D835708F2}">
      <text>
        <r>
          <rPr>
            <b/>
            <sz val="8"/>
            <color indexed="81"/>
            <rFont val="Tahoma"/>
            <family val="2"/>
          </rPr>
          <t>Column E divided by Column F
This draw-down rate should be 1 or more to avoid increasing balances.</t>
        </r>
      </text>
    </comment>
    <comment ref="I2" authorId="0" shapeId="0" xr:uid="{978F1EE2-6508-4A83-8417-78C5F5BEFE10}">
      <text>
        <r>
          <rPr>
            <b/>
            <sz val="8"/>
            <color indexed="81"/>
            <rFont val="Tahoma"/>
            <family val="2"/>
          </rPr>
          <t>Column E divided by 12
Indicates average dollar amount spent each of the last 12 months.</t>
        </r>
      </text>
    </comment>
    <comment ref="J2" authorId="0" shapeId="0" xr:uid="{B42A2418-FB55-4D4F-AEED-CD25F161700F}">
      <text>
        <r>
          <rPr>
            <b/>
            <sz val="8"/>
            <color indexed="81"/>
            <rFont val="Tahoma"/>
            <family val="2"/>
          </rPr>
          <t>Indicates the number of months remaining until 60 days before end of current Program Year.</t>
        </r>
      </text>
    </comment>
    <comment ref="K2" authorId="0" shapeId="0" xr:uid="{F9DC0BCC-933C-4DF9-BEE1-8D1AC0B5049B}">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D7B28245-66EA-490C-98AC-D146598733DD}">
      <text>
        <r>
          <rPr>
            <b/>
            <sz val="8"/>
            <color indexed="81"/>
            <rFont val="Tahoma"/>
            <family val="2"/>
          </rPr>
          <t>Monthly expenditure in dollars required to reduce unexpended balance to 2 times most recent grant amount by 60 days prior to end of current Program Year.</t>
        </r>
      </text>
    </comment>
    <comment ref="M2" authorId="0" shapeId="0" xr:uid="{F5E8BB69-668E-43DE-B58C-97B1683DDA36}">
      <text>
        <r>
          <rPr>
            <b/>
            <sz val="8"/>
            <color indexed="81"/>
            <rFont val="Tahoma"/>
            <family val="2"/>
          </rPr>
          <t>Monthly expenditure in dollars required to reduce unexpended balance to 2.5 times most recent grant amount by 60 days prior to end of current Program Year.</t>
        </r>
      </text>
    </comment>
    <comment ref="N2" authorId="0" shapeId="0" xr:uid="{7600D54C-B0C8-4E91-A33C-1FBAA8106297}">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27CAFA4E-86D2-443F-AAFC-FA0831C073D9}">
      <text>
        <r>
          <rPr>
            <b/>
            <sz val="8"/>
            <color indexed="81"/>
            <rFont val="Tahoma"/>
            <family val="2"/>
          </rPr>
          <t xml:space="preserve">Starting date for the State's current Program Year
</t>
        </r>
      </text>
    </comment>
    <comment ref="P2" authorId="0" shapeId="0" xr:uid="{49EA3BA7-277F-4270-803F-D9D455A767FC}">
      <text>
        <r>
          <rPr>
            <b/>
            <sz val="8"/>
            <color indexed="81"/>
            <rFont val="Tahoma"/>
            <family val="2"/>
          </rPr>
          <t>Column C minus prior month's Column C
Calculated from LOCCS data (all expenditures less all expenditures thru prior month)</t>
        </r>
      </text>
    </comment>
    <comment ref="Q2" authorId="0" shapeId="0" xr:uid="{3423FAC2-67D4-4597-BB44-E93F92D73F2F}">
      <text>
        <r>
          <rPr>
            <b/>
            <sz val="8"/>
            <color indexed="81"/>
            <rFont val="Tahoma"/>
            <family val="2"/>
          </rPr>
          <t>Month when the most recent grant amount changed in LOCCS.  If change occurred outside range, cell indicates "over 18 months ago".</t>
        </r>
      </text>
    </comment>
    <comment ref="N5" authorId="1" shapeId="0" xr:uid="{87316A5C-1E85-4024-A06B-0C00B6278500}">
      <text>
        <r>
          <rPr>
            <sz val="8"/>
            <color indexed="81"/>
            <rFont val="Tahoma"/>
            <family val="2"/>
          </rPr>
          <t xml:space="preserve">State changed PY start to July 1 for 2010 PY. 
PY 2009 extended to 18 months (1 Jan '09 - 30 Jun '10).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07EC08A6-C075-40C6-84BE-D0D2DA8F525B}">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E56D94C0-A39F-40F3-90F3-B36ADE817682}">
      <text>
        <r>
          <rPr>
            <b/>
            <sz val="8"/>
            <color indexed="81"/>
            <rFont val="Tahoma"/>
            <family val="2"/>
          </rPr>
          <t>Total Grants for all years listed in LOCCS</t>
        </r>
        <r>
          <rPr>
            <sz val="8"/>
            <color indexed="81"/>
            <rFont val="Tahoma"/>
            <family val="2"/>
          </rPr>
          <t xml:space="preserve">
</t>
        </r>
      </text>
    </comment>
    <comment ref="C2" authorId="0" shapeId="0" xr:uid="{0D3438A5-6CD6-437D-A3CE-2569FA33B359}">
      <text>
        <r>
          <rPr>
            <b/>
            <sz val="8"/>
            <color indexed="81"/>
            <rFont val="Tahoma"/>
            <family val="2"/>
          </rPr>
          <t>Total expenditures for all grant years recorded in LOCCS</t>
        </r>
        <r>
          <rPr>
            <sz val="8"/>
            <color indexed="81"/>
            <rFont val="Tahoma"/>
            <family val="2"/>
          </rPr>
          <t xml:space="preserve">
</t>
        </r>
      </text>
    </comment>
    <comment ref="D2" authorId="0" shapeId="0" xr:uid="{988AEF0F-7B64-470E-99A1-1845B5ADC871}">
      <text>
        <r>
          <rPr>
            <b/>
            <sz val="8"/>
            <color indexed="81"/>
            <rFont val="Tahoma"/>
            <family val="2"/>
          </rPr>
          <t>Column B minus Column C
Calculated from LOCCS data (all grants less all expenditures)</t>
        </r>
      </text>
    </comment>
    <comment ref="E2" authorId="0" shapeId="0" xr:uid="{FFB441AC-ABF3-4E3B-9382-BD5B59F77F0F}">
      <text>
        <r>
          <rPr>
            <b/>
            <sz val="8"/>
            <color indexed="81"/>
            <rFont val="Tahoma"/>
            <family val="2"/>
          </rPr>
          <t>Total of previous 12 months expenditures recorded in LOCCS</t>
        </r>
      </text>
    </comment>
    <comment ref="F2" authorId="0" shapeId="0" xr:uid="{46149A77-9CE9-477D-B517-3CA65697DD84}">
      <text>
        <r>
          <rPr>
            <b/>
            <sz val="8"/>
            <color indexed="81"/>
            <rFont val="Tahoma"/>
            <family val="2"/>
          </rPr>
          <t xml:space="preserve">
As shown in LOCCS</t>
        </r>
      </text>
    </comment>
    <comment ref="G2" authorId="0" shapeId="0" xr:uid="{4F96840C-A234-49D7-87DA-7ECE25B217CC}">
      <text>
        <r>
          <rPr>
            <b/>
            <sz val="8"/>
            <color indexed="81"/>
            <rFont val="Tahoma"/>
            <family val="2"/>
          </rPr>
          <t>Column D divided by Column F
Indicates # of years of funds available in terms of latest grant amt.</t>
        </r>
      </text>
    </comment>
    <comment ref="H2" authorId="0" shapeId="0" xr:uid="{35257603-9099-46EB-A1A0-51D6628A1B6F}">
      <text>
        <r>
          <rPr>
            <b/>
            <sz val="8"/>
            <color indexed="81"/>
            <rFont val="Tahoma"/>
            <family val="2"/>
          </rPr>
          <t>Column E divided by Column F
This draw-down rate should be 1 or more to avoid increasing balances.</t>
        </r>
      </text>
    </comment>
    <comment ref="I2" authorId="0" shapeId="0" xr:uid="{B1300EBA-94EA-4DD4-AFD4-DBF4CD5F69BD}">
      <text>
        <r>
          <rPr>
            <b/>
            <sz val="8"/>
            <color indexed="81"/>
            <rFont val="Tahoma"/>
            <family val="2"/>
          </rPr>
          <t>Column E divided by 12
Indicates average dollar amount spent each of the last 12 months.</t>
        </r>
      </text>
    </comment>
    <comment ref="J2" authorId="0" shapeId="0" xr:uid="{030DF3DB-E3EA-4DC6-B535-F6264625A495}">
      <text>
        <r>
          <rPr>
            <b/>
            <sz val="8"/>
            <color indexed="81"/>
            <rFont val="Tahoma"/>
            <family val="2"/>
          </rPr>
          <t>Indicates the number of months remaining until 60 days before end of current Program Year.</t>
        </r>
      </text>
    </comment>
    <comment ref="K2" authorId="0" shapeId="0" xr:uid="{21BDC9E1-4C91-4C78-973D-07BC4808B849}">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C395F781-C479-41CF-8C85-6A8C4046FD59}">
      <text>
        <r>
          <rPr>
            <b/>
            <sz val="8"/>
            <color indexed="81"/>
            <rFont val="Tahoma"/>
            <family val="2"/>
          </rPr>
          <t>Monthly expenditure in dollars required to reduce unexpended balance to 2 times most recent grant amount by 60 days prior to end of current Program Year.</t>
        </r>
      </text>
    </comment>
    <comment ref="M2" authorId="0" shapeId="0" xr:uid="{E0BFA3C4-58D3-41FC-B463-1F45B30F3999}">
      <text>
        <r>
          <rPr>
            <b/>
            <sz val="8"/>
            <color indexed="81"/>
            <rFont val="Tahoma"/>
            <family val="2"/>
          </rPr>
          <t>Monthly expenditure in dollars required to reduce unexpended balance to 2.5 times most recent grant amount by 60 days prior to end of current Program Year.</t>
        </r>
      </text>
    </comment>
    <comment ref="N2" authorId="0" shapeId="0" xr:uid="{870263E9-EA7D-4A99-AAF3-F78AEA9159BD}">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4071501F-8075-43FB-AE77-D76833CFE38F}">
      <text>
        <r>
          <rPr>
            <b/>
            <sz val="8"/>
            <color indexed="81"/>
            <rFont val="Tahoma"/>
            <family val="2"/>
          </rPr>
          <t xml:space="preserve">Starting date for the State's current Program Year
</t>
        </r>
      </text>
    </comment>
    <comment ref="P2" authorId="0" shapeId="0" xr:uid="{464CB5E1-54E0-4F41-BC69-C7856C39568C}">
      <text>
        <r>
          <rPr>
            <b/>
            <sz val="8"/>
            <color indexed="81"/>
            <rFont val="Tahoma"/>
            <family val="2"/>
          </rPr>
          <t>Column C minus prior month's Column C
Calculated from LOCCS data (all expenditures less all expenditures thru prior month)</t>
        </r>
      </text>
    </comment>
    <comment ref="Q2" authorId="0" shapeId="0" xr:uid="{13020389-D1BB-4465-BB4D-F420FB942E7E}">
      <text>
        <r>
          <rPr>
            <b/>
            <sz val="8"/>
            <color indexed="81"/>
            <rFont val="Tahoma"/>
            <family val="2"/>
          </rPr>
          <t>Month when the most recent grant amount changed in LOCCS.  If change occurred outside range, cell indicates "over 18 months ago".</t>
        </r>
      </text>
    </comment>
    <comment ref="N5" authorId="1" shapeId="0" xr:uid="{C04DAA02-358C-4B73-A98F-14E70E4CFCE8}">
      <text>
        <r>
          <rPr>
            <sz val="8"/>
            <color indexed="81"/>
            <rFont val="Tahoma"/>
            <family val="2"/>
          </rPr>
          <t xml:space="preserve">State changed PY start to July 1 for 2010 PY. 
PY 2009 extended to 18 months (1 Jan '09 - 30 Jun '10).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ECFE45A2-6932-43C6-93E2-D219189419C7}">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A39B1B3B-074A-49F7-B658-86C81AC1A588}">
      <text>
        <r>
          <rPr>
            <b/>
            <sz val="8"/>
            <color indexed="81"/>
            <rFont val="Tahoma"/>
            <family val="2"/>
          </rPr>
          <t>Total Grants for all years listed in LOCCS</t>
        </r>
        <r>
          <rPr>
            <sz val="8"/>
            <color indexed="81"/>
            <rFont val="Tahoma"/>
            <family val="2"/>
          </rPr>
          <t xml:space="preserve">
</t>
        </r>
      </text>
    </comment>
    <comment ref="C2" authorId="0" shapeId="0" xr:uid="{F200EE61-B26B-4CC6-A280-C85A02379E96}">
      <text>
        <r>
          <rPr>
            <b/>
            <sz val="8"/>
            <color indexed="81"/>
            <rFont val="Tahoma"/>
            <family val="2"/>
          </rPr>
          <t>Total expenditures for all grant years recorded in LOCCS</t>
        </r>
        <r>
          <rPr>
            <sz val="8"/>
            <color indexed="81"/>
            <rFont val="Tahoma"/>
            <family val="2"/>
          </rPr>
          <t xml:space="preserve">
</t>
        </r>
      </text>
    </comment>
    <comment ref="D2" authorId="0" shapeId="0" xr:uid="{0365553E-AAB0-495D-AF3F-80C7C095B078}">
      <text>
        <r>
          <rPr>
            <b/>
            <sz val="8"/>
            <color indexed="81"/>
            <rFont val="Tahoma"/>
            <family val="2"/>
          </rPr>
          <t>Column B minus Column C
Calculated from LOCCS data (all grants less all expenditures)</t>
        </r>
      </text>
    </comment>
    <comment ref="E2" authorId="0" shapeId="0" xr:uid="{DFAE36CF-7063-447F-83D0-8F29A4FB093A}">
      <text>
        <r>
          <rPr>
            <b/>
            <sz val="8"/>
            <color indexed="81"/>
            <rFont val="Tahoma"/>
            <family val="2"/>
          </rPr>
          <t>Total of previous 12 months expenditures recorded in LOCCS</t>
        </r>
      </text>
    </comment>
    <comment ref="F2" authorId="0" shapeId="0" xr:uid="{732AC702-FE9A-40A8-B6AF-A4F87F082584}">
      <text>
        <r>
          <rPr>
            <b/>
            <sz val="8"/>
            <color indexed="81"/>
            <rFont val="Tahoma"/>
            <family val="2"/>
          </rPr>
          <t xml:space="preserve">
As shown in LOCCS</t>
        </r>
      </text>
    </comment>
    <comment ref="G2" authorId="0" shapeId="0" xr:uid="{4AF91062-7804-4635-ADCB-5BF68F19E9AD}">
      <text>
        <r>
          <rPr>
            <b/>
            <sz val="8"/>
            <color indexed="81"/>
            <rFont val="Tahoma"/>
            <family val="2"/>
          </rPr>
          <t>Column D divided by Column F
Indicates # of years of funds available in terms of latest grant amt.</t>
        </r>
      </text>
    </comment>
    <comment ref="H2" authorId="0" shapeId="0" xr:uid="{AA1D30CE-58BA-4094-8646-3DE6396A9C6C}">
      <text>
        <r>
          <rPr>
            <b/>
            <sz val="8"/>
            <color indexed="81"/>
            <rFont val="Tahoma"/>
            <family val="2"/>
          </rPr>
          <t>Column E divided by Column F
This draw-down rate should be 1 or more to avoid increasing balances.</t>
        </r>
      </text>
    </comment>
    <comment ref="I2" authorId="0" shapeId="0" xr:uid="{48B66F70-A41F-4366-9D73-01F0402185AA}">
      <text>
        <r>
          <rPr>
            <b/>
            <sz val="8"/>
            <color indexed="81"/>
            <rFont val="Tahoma"/>
            <family val="2"/>
          </rPr>
          <t>Column E divided by 12
Indicates average dollar amount spent each of the last 12 months.</t>
        </r>
      </text>
    </comment>
    <comment ref="J2" authorId="0" shapeId="0" xr:uid="{574F7963-7BE7-4244-9D6D-4AE39E488FD2}">
      <text>
        <r>
          <rPr>
            <b/>
            <sz val="8"/>
            <color indexed="81"/>
            <rFont val="Tahoma"/>
            <family val="2"/>
          </rPr>
          <t>Indicates the number of months remaining until 60 days before end of current Program Year.</t>
        </r>
      </text>
    </comment>
    <comment ref="K2" authorId="0" shapeId="0" xr:uid="{090AE350-00BE-4735-9B34-D97997633B7D}">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EDE36A3C-5057-4E9C-8C0E-27F86128A8DF}">
      <text>
        <r>
          <rPr>
            <b/>
            <sz val="8"/>
            <color indexed="81"/>
            <rFont val="Tahoma"/>
            <family val="2"/>
          </rPr>
          <t>Monthly expenditure in dollars required to reduce unexpended balance to 2 times most recent grant amount by 60 days prior to end of current Program Year.</t>
        </r>
      </text>
    </comment>
    <comment ref="M2" authorId="0" shapeId="0" xr:uid="{E7226A0B-0E61-4DAC-9642-10D2CAF58B03}">
      <text>
        <r>
          <rPr>
            <b/>
            <sz val="8"/>
            <color indexed="81"/>
            <rFont val="Tahoma"/>
            <family val="2"/>
          </rPr>
          <t>Monthly expenditure in dollars required to reduce unexpended balance to 2.5 times most recent grant amount by 60 days prior to end of current Program Year.</t>
        </r>
      </text>
    </comment>
    <comment ref="N2" authorId="0" shapeId="0" xr:uid="{3B905E2E-A4E4-4CDE-A6F0-2A87989F0D12}">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E588655A-05D0-4BE4-B2D5-6B38E5E88E60}">
      <text>
        <r>
          <rPr>
            <b/>
            <sz val="8"/>
            <color indexed="81"/>
            <rFont val="Tahoma"/>
            <family val="2"/>
          </rPr>
          <t xml:space="preserve">Starting date for the State's current Program Year
</t>
        </r>
      </text>
    </comment>
    <comment ref="P2" authorId="0" shapeId="0" xr:uid="{8D0B44C3-A067-4C91-BDD6-B192897BEF29}">
      <text>
        <r>
          <rPr>
            <b/>
            <sz val="8"/>
            <color indexed="81"/>
            <rFont val="Tahoma"/>
            <family val="2"/>
          </rPr>
          <t>Column C minus prior month's Column C
Calculated from LOCCS data (all expenditures less all expenditures thru prior month)</t>
        </r>
      </text>
    </comment>
    <comment ref="Q2" authorId="0" shapeId="0" xr:uid="{11A3CA97-BCE5-4DAE-B12D-77D5BF2E1489}">
      <text>
        <r>
          <rPr>
            <b/>
            <sz val="8"/>
            <color indexed="81"/>
            <rFont val="Tahoma"/>
            <family val="2"/>
          </rPr>
          <t>Month when the most recent grant amount changed in LOCCS.  If change occurred outside range, cell indicates "over 18 months ago".</t>
        </r>
      </text>
    </comment>
    <comment ref="N6" authorId="1" shapeId="0" xr:uid="{DC2B7773-74AD-48F1-BE37-2806D166B737}">
      <text>
        <r>
          <rPr>
            <sz val="8"/>
            <color indexed="81"/>
            <rFont val="Tahoma"/>
            <family val="2"/>
          </rPr>
          <t xml:space="preserve">State changed PY start to July 1 for 2010 PY. 
PY 2009 extended to 18 months (1 Jan '09 - 30 Jun '10).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F9303379-E8EF-44B2-B304-A496A99CB305}">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2830712E-5D9F-4B6F-B5CF-0EB7A2C91A3F}">
      <text>
        <r>
          <rPr>
            <b/>
            <sz val="8"/>
            <color indexed="81"/>
            <rFont val="Tahoma"/>
            <family val="2"/>
          </rPr>
          <t>Total Grants for all years listed in LOCCS</t>
        </r>
        <r>
          <rPr>
            <sz val="8"/>
            <color indexed="81"/>
            <rFont val="Tahoma"/>
            <family val="2"/>
          </rPr>
          <t xml:space="preserve">
</t>
        </r>
      </text>
    </comment>
    <comment ref="C2" authorId="0" shapeId="0" xr:uid="{589FDF6D-D4FD-41FB-A3E7-6D5D3ECCE31B}">
      <text>
        <r>
          <rPr>
            <b/>
            <sz val="8"/>
            <color indexed="81"/>
            <rFont val="Tahoma"/>
            <family val="2"/>
          </rPr>
          <t>Total expenditures for all grant years recorded in LOCCS</t>
        </r>
        <r>
          <rPr>
            <sz val="8"/>
            <color indexed="81"/>
            <rFont val="Tahoma"/>
            <family val="2"/>
          </rPr>
          <t xml:space="preserve">
</t>
        </r>
      </text>
    </comment>
    <comment ref="D2" authorId="0" shapeId="0" xr:uid="{57D57DF6-F6C2-4A6C-A2A9-696ADE883D7C}">
      <text>
        <r>
          <rPr>
            <b/>
            <sz val="8"/>
            <color indexed="81"/>
            <rFont val="Tahoma"/>
            <family val="2"/>
          </rPr>
          <t>Column B minus Column C
Calculated from LOCCS data (all grants less all expenditures)</t>
        </r>
      </text>
    </comment>
    <comment ref="E2" authorId="0" shapeId="0" xr:uid="{FCD32C29-C0D0-4583-9129-CAEDE502065F}">
      <text>
        <r>
          <rPr>
            <b/>
            <sz val="8"/>
            <color indexed="81"/>
            <rFont val="Tahoma"/>
            <family val="2"/>
          </rPr>
          <t>Total of previous 12 months expenditures recorded in LOCCS</t>
        </r>
      </text>
    </comment>
    <comment ref="F2" authorId="0" shapeId="0" xr:uid="{5C8E6A68-62E8-4BA6-822C-4495129EE59F}">
      <text>
        <r>
          <rPr>
            <b/>
            <sz val="8"/>
            <color indexed="81"/>
            <rFont val="Tahoma"/>
            <family val="2"/>
          </rPr>
          <t xml:space="preserve">
As shown in LOCCS</t>
        </r>
      </text>
    </comment>
    <comment ref="G2" authorId="0" shapeId="0" xr:uid="{DF34B405-D996-4DAF-901D-CE2BD08AEB5D}">
      <text>
        <r>
          <rPr>
            <b/>
            <sz val="8"/>
            <color indexed="81"/>
            <rFont val="Tahoma"/>
            <family val="2"/>
          </rPr>
          <t>Column D divided by Column F
Indicates # of years of funds available in terms of latest grant amt.</t>
        </r>
      </text>
    </comment>
    <comment ref="H2" authorId="0" shapeId="0" xr:uid="{9C258B67-AB7D-47E9-ADAC-1BA0BC8B5BA3}">
      <text>
        <r>
          <rPr>
            <b/>
            <sz val="8"/>
            <color indexed="81"/>
            <rFont val="Tahoma"/>
            <family val="2"/>
          </rPr>
          <t>Column E divided by Column F
This draw-down rate should be 1 or more to avoid increasing balances.</t>
        </r>
      </text>
    </comment>
    <comment ref="I2" authorId="0" shapeId="0" xr:uid="{2A1CCFF4-756D-41FB-B74B-D1864E05294B}">
      <text>
        <r>
          <rPr>
            <b/>
            <sz val="8"/>
            <color indexed="81"/>
            <rFont val="Tahoma"/>
            <family val="2"/>
          </rPr>
          <t>Column E divided by 12
Indicates average dollar amount spent each of the last 12 months.</t>
        </r>
      </text>
    </comment>
    <comment ref="J2" authorId="0" shapeId="0" xr:uid="{5DED4DA7-CF1F-46C7-9AF6-2F23D9B486C9}">
      <text>
        <r>
          <rPr>
            <b/>
            <sz val="8"/>
            <color indexed="81"/>
            <rFont val="Tahoma"/>
            <family val="2"/>
          </rPr>
          <t>Indicates the number of months remaining until 60 days before end of current Program Year.</t>
        </r>
      </text>
    </comment>
    <comment ref="K2" authorId="0" shapeId="0" xr:uid="{D5225112-1901-4E37-BA01-2B9645F80DD8}">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74E20E7D-4D19-46B5-ADA3-CCC5CFC5DA8B}">
      <text>
        <r>
          <rPr>
            <b/>
            <sz val="8"/>
            <color indexed="81"/>
            <rFont val="Tahoma"/>
            <family val="2"/>
          </rPr>
          <t>Monthly expenditure in dollars required to reduce unexpended balance to 2 times most recent grant amount by 60 days prior to end of current Program Year.</t>
        </r>
      </text>
    </comment>
    <comment ref="M2" authorId="0" shapeId="0" xr:uid="{D4A4853E-2C35-44A8-BC00-7F91B5F972FC}">
      <text>
        <r>
          <rPr>
            <b/>
            <sz val="8"/>
            <color indexed="81"/>
            <rFont val="Tahoma"/>
            <family val="2"/>
          </rPr>
          <t>Monthly expenditure in dollars required to reduce unexpended balance to 2.5 times most recent grant amount by 60 days prior to end of current Program Year.</t>
        </r>
      </text>
    </comment>
    <comment ref="N2" authorId="0" shapeId="0" xr:uid="{8FAC4E84-DBCE-4792-8AD1-8D24585A5C53}">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C4FCF495-6102-4B20-8252-4A7177031100}">
      <text>
        <r>
          <rPr>
            <b/>
            <sz val="8"/>
            <color indexed="81"/>
            <rFont val="Tahoma"/>
            <family val="2"/>
          </rPr>
          <t xml:space="preserve">Starting date for the State's current Program Year
</t>
        </r>
      </text>
    </comment>
    <comment ref="P2" authorId="0" shapeId="0" xr:uid="{1A45933B-475B-4642-B3EA-4253C07A1C35}">
      <text>
        <r>
          <rPr>
            <b/>
            <sz val="8"/>
            <color indexed="81"/>
            <rFont val="Tahoma"/>
            <family val="2"/>
          </rPr>
          <t>Column C minus prior month's Column C
Calculated from LOCCS data (all expenditures less all expenditures thru prior month)</t>
        </r>
      </text>
    </comment>
    <comment ref="Q2" authorId="0" shapeId="0" xr:uid="{A03A8231-9B8B-43F9-86A7-AEA4B301E176}">
      <text>
        <r>
          <rPr>
            <b/>
            <sz val="8"/>
            <color indexed="81"/>
            <rFont val="Tahoma"/>
            <family val="2"/>
          </rPr>
          <t>Month when the most recent grant amount changed in LOCCS.  If change occurred outside range, cell indicates "over 18 months ago".</t>
        </r>
      </text>
    </comment>
    <comment ref="N6" authorId="1" shapeId="0" xr:uid="{AE3ABCA1-87DE-4445-811D-F7E5B335DE9F}">
      <text>
        <r>
          <rPr>
            <sz val="8"/>
            <color indexed="81"/>
            <rFont val="Tahoma"/>
            <family val="2"/>
          </rPr>
          <t xml:space="preserve">State changed PY start to July 1 for 2010 PY. 
PY 2009 extended to 18 months (1 Jan '09 - 30 Jun '10).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7E9C0274-597F-4EE2-8075-93D628BE1669}">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EBA9EFAE-EC29-4A81-AF04-349BC040BD3B}">
      <text>
        <r>
          <rPr>
            <b/>
            <sz val="8"/>
            <color indexed="81"/>
            <rFont val="Tahoma"/>
            <family val="2"/>
          </rPr>
          <t>Total Grants for all years listed in LOCCS</t>
        </r>
        <r>
          <rPr>
            <sz val="8"/>
            <color indexed="81"/>
            <rFont val="Tahoma"/>
            <family val="2"/>
          </rPr>
          <t xml:space="preserve">
</t>
        </r>
      </text>
    </comment>
    <comment ref="C2" authorId="0" shapeId="0" xr:uid="{FEF00B9D-32EC-4C0E-B9BF-652B205F6A23}">
      <text>
        <r>
          <rPr>
            <b/>
            <sz val="8"/>
            <color indexed="81"/>
            <rFont val="Tahoma"/>
            <family val="2"/>
          </rPr>
          <t>Total expenditures for all grant years recorded in LOCCS</t>
        </r>
        <r>
          <rPr>
            <sz val="8"/>
            <color indexed="81"/>
            <rFont val="Tahoma"/>
            <family val="2"/>
          </rPr>
          <t xml:space="preserve">
</t>
        </r>
      </text>
    </comment>
    <comment ref="D2" authorId="0" shapeId="0" xr:uid="{51F3864D-FF46-433B-A884-CCD164509992}">
      <text>
        <r>
          <rPr>
            <b/>
            <sz val="8"/>
            <color indexed="81"/>
            <rFont val="Tahoma"/>
            <family val="2"/>
          </rPr>
          <t>Column B minus Column C
Calculated from LOCCS data (all grants less all expenditures)</t>
        </r>
      </text>
    </comment>
    <comment ref="E2" authorId="0" shapeId="0" xr:uid="{2F1C4E37-6B2D-4BFB-8E6D-04306DF94B0C}">
      <text>
        <r>
          <rPr>
            <b/>
            <sz val="8"/>
            <color indexed="81"/>
            <rFont val="Tahoma"/>
            <family val="2"/>
          </rPr>
          <t>Total of previous 12 months expenditures recorded in LOCCS</t>
        </r>
      </text>
    </comment>
    <comment ref="F2" authorId="0" shapeId="0" xr:uid="{B8D480E0-03C9-4E15-B748-846146F0F9AE}">
      <text>
        <r>
          <rPr>
            <b/>
            <sz val="8"/>
            <color indexed="81"/>
            <rFont val="Tahoma"/>
            <family val="2"/>
          </rPr>
          <t xml:space="preserve">
As shown in LOCCS</t>
        </r>
      </text>
    </comment>
    <comment ref="G2" authorId="0" shapeId="0" xr:uid="{4C2058FF-CEF7-4724-B3FE-7FB709AC3636}">
      <text>
        <r>
          <rPr>
            <b/>
            <sz val="8"/>
            <color indexed="81"/>
            <rFont val="Tahoma"/>
            <family val="2"/>
          </rPr>
          <t>Column D divided by Column F
Indicates # of years of funds available in terms of latest grant amt.</t>
        </r>
      </text>
    </comment>
    <comment ref="H2" authorId="0" shapeId="0" xr:uid="{1D19BA1F-A1C3-49E0-83A3-3CDD25740AA1}">
      <text>
        <r>
          <rPr>
            <b/>
            <sz val="8"/>
            <color indexed="81"/>
            <rFont val="Tahoma"/>
            <family val="2"/>
          </rPr>
          <t>Column E divided by Column F
This draw-down rate should be 1 or more to avoid increasing balances.</t>
        </r>
      </text>
    </comment>
    <comment ref="I2" authorId="0" shapeId="0" xr:uid="{FCAD3BBE-C464-48EA-821C-8FB2D286AA66}">
      <text>
        <r>
          <rPr>
            <b/>
            <sz val="8"/>
            <color indexed="81"/>
            <rFont val="Tahoma"/>
            <family val="2"/>
          </rPr>
          <t>Column E divided by 12
Indicates average dollar amount spent each of the last 12 months.</t>
        </r>
      </text>
    </comment>
    <comment ref="J2" authorId="0" shapeId="0" xr:uid="{AEE1B5F9-50C3-4D34-B519-73A95505B828}">
      <text>
        <r>
          <rPr>
            <b/>
            <sz val="8"/>
            <color indexed="81"/>
            <rFont val="Tahoma"/>
            <family val="2"/>
          </rPr>
          <t>Indicates the number of months remaining until 60 days before end of current Program Year.</t>
        </r>
      </text>
    </comment>
    <comment ref="K2" authorId="0" shapeId="0" xr:uid="{3B62AD0C-8F2A-40CA-8E70-D3549FB67CE2}">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C4E17DFF-2FF0-46E5-BDC9-3A31CCC782B3}">
      <text>
        <r>
          <rPr>
            <b/>
            <sz val="8"/>
            <color indexed="81"/>
            <rFont val="Tahoma"/>
            <family val="2"/>
          </rPr>
          <t>Monthly expenditure in dollars required to reduce unexpended balance to 2 times most recent grant amount by 60 days prior to end of current Program Year.</t>
        </r>
      </text>
    </comment>
    <comment ref="M2" authorId="0" shapeId="0" xr:uid="{3A120D6D-9B3F-4E46-A655-B7AF8CC72D14}">
      <text>
        <r>
          <rPr>
            <b/>
            <sz val="8"/>
            <color indexed="81"/>
            <rFont val="Tahoma"/>
            <family val="2"/>
          </rPr>
          <t>Monthly expenditure in dollars required to reduce unexpended balance to 2.5 times most recent grant amount by 60 days prior to end of current Program Year.</t>
        </r>
      </text>
    </comment>
    <comment ref="N2" authorId="0" shapeId="0" xr:uid="{9AB29D6B-823A-4980-BD24-B6D17592E40A}">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FB4785C3-505E-4A3D-8DD0-775BC3C055CA}">
      <text>
        <r>
          <rPr>
            <b/>
            <sz val="8"/>
            <color indexed="81"/>
            <rFont val="Tahoma"/>
            <family val="2"/>
          </rPr>
          <t xml:space="preserve">Starting date for the State's current Program Year
</t>
        </r>
      </text>
    </comment>
    <comment ref="P2" authorId="0" shapeId="0" xr:uid="{2DCD917B-6EFC-4BFA-B543-1E50844DC210}">
      <text>
        <r>
          <rPr>
            <b/>
            <sz val="8"/>
            <color indexed="81"/>
            <rFont val="Tahoma"/>
            <family val="2"/>
          </rPr>
          <t>Column C minus prior month's Column C
Calculated from LOCCS data (all expenditures less all expenditures thru prior month)</t>
        </r>
      </text>
    </comment>
    <comment ref="Q2" authorId="0" shapeId="0" xr:uid="{95664B11-33E2-40CE-B425-49BBD3F54EE1}">
      <text>
        <r>
          <rPr>
            <b/>
            <sz val="8"/>
            <color indexed="81"/>
            <rFont val="Tahoma"/>
            <family val="2"/>
          </rPr>
          <t>Month when the most recent grant amount changed in LOCCS.  If change occurred outside range, cell indicates "over 18 months ago".</t>
        </r>
      </text>
    </comment>
    <comment ref="N6" authorId="1" shapeId="0" xr:uid="{2DAC8E7E-D328-4CEF-8951-43C7C2D2B6CE}">
      <text>
        <r>
          <rPr>
            <sz val="8"/>
            <color indexed="81"/>
            <rFont val="Tahoma"/>
            <family val="2"/>
          </rPr>
          <t xml:space="preserve">State changed PY start to July 1 for 2010 PY. 
PY 2009 extended to 18 months (1 Jan '09 - 30 Jun '10).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4CEB5A8B-4B23-4271-B648-A1BA9902BB09}">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001A4C9B-55FF-4FE4-95CF-B796C31C3EDB}">
      <text>
        <r>
          <rPr>
            <b/>
            <sz val="8"/>
            <color indexed="81"/>
            <rFont val="Tahoma"/>
            <family val="2"/>
          </rPr>
          <t>Total Grants for all years listed in LOCCS</t>
        </r>
        <r>
          <rPr>
            <sz val="8"/>
            <color indexed="81"/>
            <rFont val="Tahoma"/>
            <family val="2"/>
          </rPr>
          <t xml:space="preserve">
</t>
        </r>
      </text>
    </comment>
    <comment ref="C2" authorId="0" shapeId="0" xr:uid="{6AE3A827-ACB7-4FBC-8398-50CAA951878F}">
      <text>
        <r>
          <rPr>
            <b/>
            <sz val="8"/>
            <color indexed="81"/>
            <rFont val="Tahoma"/>
            <family val="2"/>
          </rPr>
          <t>Total expenditures for all grant years recorded in LOCCS</t>
        </r>
        <r>
          <rPr>
            <sz val="8"/>
            <color indexed="81"/>
            <rFont val="Tahoma"/>
            <family val="2"/>
          </rPr>
          <t xml:space="preserve">
</t>
        </r>
      </text>
    </comment>
    <comment ref="D2" authorId="0" shapeId="0" xr:uid="{81B497B2-21BA-4D1F-8029-D02A3E35E8CE}">
      <text>
        <r>
          <rPr>
            <b/>
            <sz val="8"/>
            <color indexed="81"/>
            <rFont val="Tahoma"/>
            <family val="2"/>
          </rPr>
          <t>Column B minus Column C
Calculated from LOCCS data (all grants less all expenditures)</t>
        </r>
      </text>
    </comment>
    <comment ref="E2" authorId="0" shapeId="0" xr:uid="{81F53526-AC01-477E-B5CA-7058CE197036}">
      <text>
        <r>
          <rPr>
            <b/>
            <sz val="8"/>
            <color indexed="81"/>
            <rFont val="Tahoma"/>
            <family val="2"/>
          </rPr>
          <t>Total of previous 12 months expenditures recorded in LOCCS</t>
        </r>
      </text>
    </comment>
    <comment ref="F2" authorId="0" shapeId="0" xr:uid="{2366C638-3DA6-4E64-A219-49193A9267E7}">
      <text>
        <r>
          <rPr>
            <b/>
            <sz val="8"/>
            <color indexed="81"/>
            <rFont val="Tahoma"/>
            <family val="2"/>
          </rPr>
          <t xml:space="preserve">
As shown in LOCCS</t>
        </r>
      </text>
    </comment>
    <comment ref="G2" authorId="0" shapeId="0" xr:uid="{23412DC8-839F-42C6-B776-71567E678C8C}">
      <text>
        <r>
          <rPr>
            <b/>
            <sz val="8"/>
            <color indexed="81"/>
            <rFont val="Tahoma"/>
            <family val="2"/>
          </rPr>
          <t>Column D divided by Column F
Indicates # of years of funds available in terms of latest grant amt.</t>
        </r>
      </text>
    </comment>
    <comment ref="H2" authorId="0" shapeId="0" xr:uid="{5E7BCA17-0101-46FF-AF1D-69D9153EDEF9}">
      <text>
        <r>
          <rPr>
            <b/>
            <sz val="8"/>
            <color indexed="81"/>
            <rFont val="Tahoma"/>
            <family val="2"/>
          </rPr>
          <t>Column E divided by Column F
This draw-down rate should be 1 or more to avoid increasing balances.</t>
        </r>
      </text>
    </comment>
    <comment ref="I2" authorId="0" shapeId="0" xr:uid="{1117E52B-7000-4963-BFBC-E656919D7C0B}">
      <text>
        <r>
          <rPr>
            <b/>
            <sz val="8"/>
            <color indexed="81"/>
            <rFont val="Tahoma"/>
            <family val="2"/>
          </rPr>
          <t>Column E divided by 12
Indicates average dollar amount spent each of the last 12 months.</t>
        </r>
      </text>
    </comment>
    <comment ref="J2" authorId="0" shapeId="0" xr:uid="{C9B4AE1A-D8D2-4169-97AA-65B81AA82F08}">
      <text>
        <r>
          <rPr>
            <b/>
            <sz val="8"/>
            <color indexed="81"/>
            <rFont val="Tahoma"/>
            <family val="2"/>
          </rPr>
          <t>Indicates the number of months remaining until 60 days before end of current Program Year.</t>
        </r>
      </text>
    </comment>
    <comment ref="K2" authorId="0" shapeId="0" xr:uid="{AFE30B96-E0A3-4CD2-BFB4-7EF7AD434E8D}">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9CF9C9C7-F095-4C8D-B4FB-36218270D49E}">
      <text>
        <r>
          <rPr>
            <b/>
            <sz val="8"/>
            <color indexed="81"/>
            <rFont val="Tahoma"/>
            <family val="2"/>
          </rPr>
          <t>Monthly expenditure in dollars required to reduce unexpended balance to 2 times most recent grant amount by 60 days prior to end of current Program Year.</t>
        </r>
      </text>
    </comment>
    <comment ref="M2" authorId="0" shapeId="0" xr:uid="{5CBFD1B0-9666-4560-BD32-6CB2132522BF}">
      <text>
        <r>
          <rPr>
            <b/>
            <sz val="8"/>
            <color indexed="81"/>
            <rFont val="Tahoma"/>
            <family val="2"/>
          </rPr>
          <t>Monthly expenditure in dollars required to reduce unexpended balance to 2.5 times most recent grant amount by 60 days prior to end of current Program Year.</t>
        </r>
      </text>
    </comment>
    <comment ref="N2" authorId="0" shapeId="0" xr:uid="{6AA32CA8-F327-4A71-9283-3B772F1FA434}">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7C49D932-7C4D-4AE3-A65B-66F6366A6D1E}">
      <text>
        <r>
          <rPr>
            <b/>
            <sz val="8"/>
            <color indexed="81"/>
            <rFont val="Tahoma"/>
            <family val="2"/>
          </rPr>
          <t xml:space="preserve">Starting date for the State's current Program Year
</t>
        </r>
      </text>
    </comment>
    <comment ref="P2" authorId="0" shapeId="0" xr:uid="{E5C9FCD5-F60D-4CEA-A386-A5C51984C9B1}">
      <text>
        <r>
          <rPr>
            <b/>
            <sz val="8"/>
            <color indexed="81"/>
            <rFont val="Tahoma"/>
            <family val="2"/>
          </rPr>
          <t>Column C minus prior month's Column C
Calculated from LOCCS data (all expenditures less all expenditures thru prior month)</t>
        </r>
      </text>
    </comment>
    <comment ref="Q2" authorId="0" shapeId="0" xr:uid="{AA0D3E33-C276-47B8-9488-058D89E67727}">
      <text>
        <r>
          <rPr>
            <b/>
            <sz val="8"/>
            <color indexed="81"/>
            <rFont val="Tahoma"/>
            <family val="2"/>
          </rPr>
          <t>Month when the most recent grant amount changed in LOCCS.  If change occurred outside range, cell indicates "over 18 months ago".</t>
        </r>
      </text>
    </comment>
    <comment ref="N6" authorId="1" shapeId="0" xr:uid="{D1F875DF-00F1-4D06-8873-10AD0AB2EE30}">
      <text>
        <r>
          <rPr>
            <sz val="8"/>
            <color indexed="81"/>
            <rFont val="Tahoma"/>
            <family val="2"/>
          </rPr>
          <t xml:space="preserve">State changed PY start to July 1 for 2010 PY. 
PY 2009 extended to 18 months (1 Jan '09 - 30 Jun '10).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F5A14AAF-53CD-4EDE-9490-8C82D08D54FA}">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34FAA904-3432-484F-B377-4149F13E4DB3}">
      <text>
        <r>
          <rPr>
            <b/>
            <sz val="8"/>
            <color indexed="81"/>
            <rFont val="Tahoma"/>
            <family val="2"/>
          </rPr>
          <t>Total Grants for all years listed in LOCCS</t>
        </r>
        <r>
          <rPr>
            <sz val="8"/>
            <color indexed="81"/>
            <rFont val="Tahoma"/>
            <family val="2"/>
          </rPr>
          <t xml:space="preserve">
</t>
        </r>
      </text>
    </comment>
    <comment ref="C2" authorId="0" shapeId="0" xr:uid="{B5816159-8025-4DDF-A567-668D7298DF9D}">
      <text>
        <r>
          <rPr>
            <b/>
            <sz val="8"/>
            <color indexed="81"/>
            <rFont val="Tahoma"/>
            <family val="2"/>
          </rPr>
          <t>Total expenditures for all grant years recorded in LOCCS</t>
        </r>
        <r>
          <rPr>
            <sz val="8"/>
            <color indexed="81"/>
            <rFont val="Tahoma"/>
            <family val="2"/>
          </rPr>
          <t xml:space="preserve">
</t>
        </r>
      </text>
    </comment>
    <comment ref="D2" authorId="0" shapeId="0" xr:uid="{C054FD47-42A1-4DBC-B88D-AE7DAA97A2AC}">
      <text>
        <r>
          <rPr>
            <b/>
            <sz val="8"/>
            <color indexed="81"/>
            <rFont val="Tahoma"/>
            <family val="2"/>
          </rPr>
          <t>Column B minus Column C
Calculated from LOCCS data (all grants less all expenditures)</t>
        </r>
      </text>
    </comment>
    <comment ref="E2" authorId="0" shapeId="0" xr:uid="{B4D0A471-75DC-4CED-9F00-3E8FE27D919F}">
      <text>
        <r>
          <rPr>
            <b/>
            <sz val="8"/>
            <color indexed="81"/>
            <rFont val="Tahoma"/>
            <family val="2"/>
          </rPr>
          <t>Total of previous 12 months expenditures recorded in LOCCS</t>
        </r>
      </text>
    </comment>
    <comment ref="F2" authorId="0" shapeId="0" xr:uid="{7CED1FE8-33AC-441A-A56E-96C09083BE89}">
      <text>
        <r>
          <rPr>
            <b/>
            <sz val="8"/>
            <color indexed="81"/>
            <rFont val="Tahoma"/>
            <family val="2"/>
          </rPr>
          <t xml:space="preserve">
As shown in LOCCS</t>
        </r>
      </text>
    </comment>
    <comment ref="G2" authorId="0" shapeId="0" xr:uid="{E1AE3BA7-4BAE-4124-8F70-8986279728AE}">
      <text>
        <r>
          <rPr>
            <b/>
            <sz val="8"/>
            <color indexed="81"/>
            <rFont val="Tahoma"/>
            <family val="2"/>
          </rPr>
          <t>Column D divided by Column F
Indicates # of years of funds available in terms of latest grant amt.</t>
        </r>
      </text>
    </comment>
    <comment ref="H2" authorId="0" shapeId="0" xr:uid="{A6432A41-88A4-4017-87DF-732426A5BFDF}">
      <text>
        <r>
          <rPr>
            <b/>
            <sz val="8"/>
            <color indexed="81"/>
            <rFont val="Tahoma"/>
            <family val="2"/>
          </rPr>
          <t>Column E divided by Column F
This draw-down rate should be 1 or more to avoid increasing balances.</t>
        </r>
      </text>
    </comment>
    <comment ref="I2" authorId="0" shapeId="0" xr:uid="{B4B54A39-D48A-4052-81FF-B15A7BF8B94F}">
      <text>
        <r>
          <rPr>
            <b/>
            <sz val="8"/>
            <color indexed="81"/>
            <rFont val="Tahoma"/>
            <family val="2"/>
          </rPr>
          <t>Column E divided by 12
Indicates average dollar amount spent each of the last 12 months.</t>
        </r>
      </text>
    </comment>
    <comment ref="J2" authorId="0" shapeId="0" xr:uid="{400B1F59-A0C8-4004-807B-5B8EA07B2950}">
      <text>
        <r>
          <rPr>
            <b/>
            <sz val="8"/>
            <color indexed="81"/>
            <rFont val="Tahoma"/>
            <family val="2"/>
          </rPr>
          <t>Indicates the number of months remaining until 60 days before end of current Program Year.</t>
        </r>
      </text>
    </comment>
    <comment ref="K2" authorId="0" shapeId="0" xr:uid="{C5CE2351-477A-4B65-B73C-2E2DBFDA99E5}">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7D5F76B1-DA3B-4D09-8EC0-6E89C0565B8D}">
      <text>
        <r>
          <rPr>
            <b/>
            <sz val="8"/>
            <color indexed="81"/>
            <rFont val="Tahoma"/>
            <family val="2"/>
          </rPr>
          <t>Monthly expenditure in dollars required to reduce unexpended balance to 2 times most recent grant amount by 60 days prior to end of current Program Year.</t>
        </r>
      </text>
    </comment>
    <comment ref="M2" authorId="0" shapeId="0" xr:uid="{474E3661-6F3C-47C4-A84A-EAE209A7D339}">
      <text>
        <r>
          <rPr>
            <b/>
            <sz val="8"/>
            <color indexed="81"/>
            <rFont val="Tahoma"/>
            <family val="2"/>
          </rPr>
          <t>Monthly expenditure in dollars required to reduce unexpended balance to 2.5 times most recent grant amount by 60 days prior to end of current Program Year.</t>
        </r>
      </text>
    </comment>
    <comment ref="N2" authorId="0" shapeId="0" xr:uid="{596AB7FF-DAA0-44F4-A923-4CC65D8F38A8}">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7CE5FDD8-41B4-449D-B592-B95F86651533}">
      <text>
        <r>
          <rPr>
            <b/>
            <sz val="8"/>
            <color indexed="81"/>
            <rFont val="Tahoma"/>
            <family val="2"/>
          </rPr>
          <t xml:space="preserve">Starting date for the State's current Program Year
</t>
        </r>
      </text>
    </comment>
    <comment ref="P2" authorId="0" shapeId="0" xr:uid="{15812419-0406-426D-8E6C-A73869AD0FC2}">
      <text>
        <r>
          <rPr>
            <b/>
            <sz val="8"/>
            <color indexed="81"/>
            <rFont val="Tahoma"/>
            <family val="2"/>
          </rPr>
          <t>Column C minus prior month's Column C
Calculated from LOCCS data (all expenditures less all expenditures thru prior month)</t>
        </r>
      </text>
    </comment>
    <comment ref="Q2" authorId="0" shapeId="0" xr:uid="{F9F8C6A4-905B-4B5A-8B9C-DF7A3C4BBE46}">
      <text>
        <r>
          <rPr>
            <b/>
            <sz val="8"/>
            <color indexed="81"/>
            <rFont val="Tahoma"/>
            <family val="2"/>
          </rPr>
          <t>Month when the most recent grant amount changed in LOCCS.  If change occurred outside range, cell indicates "over 18 months ago".</t>
        </r>
      </text>
    </comment>
    <comment ref="N5" authorId="1" shapeId="0" xr:uid="{5ED4F853-7F16-4C08-8724-C43E4507655D}">
      <text>
        <r>
          <rPr>
            <sz val="8"/>
            <color indexed="81"/>
            <rFont val="Tahoma"/>
            <family val="2"/>
          </rPr>
          <t xml:space="preserve">State changed PY start to July 1 for 2010 PY. 
PY 2009 extended to 18 months (1 Jan '09 - 30 Jun '10).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2667A937-6457-4640-B20D-DF26E976E18D}">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78913ACE-7CC4-4D17-BA9C-4C8397163D0B}">
      <text>
        <r>
          <rPr>
            <b/>
            <sz val="8"/>
            <color indexed="81"/>
            <rFont val="Tahoma"/>
            <family val="2"/>
          </rPr>
          <t>Total Grants for all years listed in LOCCS</t>
        </r>
        <r>
          <rPr>
            <sz val="8"/>
            <color indexed="81"/>
            <rFont val="Tahoma"/>
            <family val="2"/>
          </rPr>
          <t xml:space="preserve">
</t>
        </r>
      </text>
    </comment>
    <comment ref="C2" authorId="0" shapeId="0" xr:uid="{16FB209C-0270-4447-8EBB-2F119F6AC693}">
      <text>
        <r>
          <rPr>
            <b/>
            <sz val="8"/>
            <color indexed="81"/>
            <rFont val="Tahoma"/>
            <family val="2"/>
          </rPr>
          <t>Total expenditures for all grant years recorded in LOCCS</t>
        </r>
        <r>
          <rPr>
            <sz val="8"/>
            <color indexed="81"/>
            <rFont val="Tahoma"/>
            <family val="2"/>
          </rPr>
          <t xml:space="preserve">
</t>
        </r>
      </text>
    </comment>
    <comment ref="D2" authorId="0" shapeId="0" xr:uid="{BAC9AAC3-6C48-4BF0-B126-0598E202848B}">
      <text>
        <r>
          <rPr>
            <b/>
            <sz val="8"/>
            <color indexed="81"/>
            <rFont val="Tahoma"/>
            <family val="2"/>
          </rPr>
          <t>Column B minus Column C
Calculated from LOCCS data (all grants less all expenditures)</t>
        </r>
      </text>
    </comment>
    <comment ref="E2" authorId="0" shapeId="0" xr:uid="{72EF9B13-C2C8-446D-BBF3-7251BF7F09C2}">
      <text>
        <r>
          <rPr>
            <b/>
            <sz val="8"/>
            <color indexed="81"/>
            <rFont val="Tahoma"/>
            <family val="2"/>
          </rPr>
          <t>Total of previous 12 months expenditures recorded in LOCCS</t>
        </r>
      </text>
    </comment>
    <comment ref="F2" authorId="0" shapeId="0" xr:uid="{718937E8-B71C-4761-9786-E9C1CD241817}">
      <text>
        <r>
          <rPr>
            <b/>
            <sz val="8"/>
            <color indexed="81"/>
            <rFont val="Tahoma"/>
            <family val="2"/>
          </rPr>
          <t xml:space="preserve">
As shown in LOCCS</t>
        </r>
      </text>
    </comment>
    <comment ref="G2" authorId="0" shapeId="0" xr:uid="{83D8F918-B670-4C4B-9890-F6F53C9E2D00}">
      <text>
        <r>
          <rPr>
            <b/>
            <sz val="8"/>
            <color indexed="81"/>
            <rFont val="Tahoma"/>
            <family val="2"/>
          </rPr>
          <t>Column D divided by Column F
Indicates # of years of funds available in terms of latest grant amt.</t>
        </r>
      </text>
    </comment>
    <comment ref="H2" authorId="0" shapeId="0" xr:uid="{EFD92DB2-4DA7-4204-879A-EF8387B76424}">
      <text>
        <r>
          <rPr>
            <b/>
            <sz val="8"/>
            <color indexed="81"/>
            <rFont val="Tahoma"/>
            <family val="2"/>
          </rPr>
          <t>Column E divided by Column F
This draw-down rate should be 1 or more to avoid increasing balances.</t>
        </r>
      </text>
    </comment>
    <comment ref="I2" authorId="0" shapeId="0" xr:uid="{98B43371-A4AE-4748-B6E1-A7150942ADBC}">
      <text>
        <r>
          <rPr>
            <b/>
            <sz val="8"/>
            <color indexed="81"/>
            <rFont val="Tahoma"/>
            <family val="2"/>
          </rPr>
          <t>Column E divided by 12
Indicates average dollar amount spent each of the last 12 months.</t>
        </r>
      </text>
    </comment>
    <comment ref="J2" authorId="0" shapeId="0" xr:uid="{9E3D2A94-2DE7-41CF-BA93-A4C60279651F}">
      <text>
        <r>
          <rPr>
            <b/>
            <sz val="8"/>
            <color indexed="81"/>
            <rFont val="Tahoma"/>
            <family val="2"/>
          </rPr>
          <t>Indicates the number of months remaining until 60 days before end of current Program Year.</t>
        </r>
      </text>
    </comment>
    <comment ref="K2" authorId="0" shapeId="0" xr:uid="{E5470727-6553-4C9A-A170-1C924DCB4903}">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855B488C-7C50-494D-8B67-A7B2979EBDAE}">
      <text>
        <r>
          <rPr>
            <b/>
            <sz val="8"/>
            <color indexed="81"/>
            <rFont val="Tahoma"/>
            <family val="2"/>
          </rPr>
          <t>Monthly expenditure in dollars required to reduce unexpended balance to 2 times most recent grant amount by 60 days prior to end of current Program Year.</t>
        </r>
      </text>
    </comment>
    <comment ref="M2" authorId="0" shapeId="0" xr:uid="{56056131-23E4-483F-90BF-68229232F5D2}">
      <text>
        <r>
          <rPr>
            <b/>
            <sz val="8"/>
            <color indexed="81"/>
            <rFont val="Tahoma"/>
            <family val="2"/>
          </rPr>
          <t>Monthly expenditure in dollars required to reduce unexpended balance to 2.5 times most recent grant amount by 60 days prior to end of current Program Year.</t>
        </r>
      </text>
    </comment>
    <comment ref="N2" authorId="0" shapeId="0" xr:uid="{872E01B6-79A8-46BA-962B-C2B17F14A08A}">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602E6A9B-6ED5-4EE3-B2AA-CDB32CBF6F5A}">
      <text>
        <r>
          <rPr>
            <b/>
            <sz val="8"/>
            <color indexed="81"/>
            <rFont val="Tahoma"/>
            <family val="2"/>
          </rPr>
          <t xml:space="preserve">Starting date for the State's current Program Year
</t>
        </r>
      </text>
    </comment>
    <comment ref="P2" authorId="0" shapeId="0" xr:uid="{266B7761-430D-4E74-A235-0D34A00AE9F8}">
      <text>
        <r>
          <rPr>
            <b/>
            <sz val="8"/>
            <color indexed="81"/>
            <rFont val="Tahoma"/>
            <family val="2"/>
          </rPr>
          <t>Column C minus prior month's Column C
Calculated from LOCCS data (all expenditures less all expenditures thru prior month)</t>
        </r>
      </text>
    </comment>
    <comment ref="Q2" authorId="0" shapeId="0" xr:uid="{879FF7B3-A6E0-45E9-A315-850D12AF1BBA}">
      <text>
        <r>
          <rPr>
            <b/>
            <sz val="8"/>
            <color indexed="81"/>
            <rFont val="Tahoma"/>
            <family val="2"/>
          </rPr>
          <t>Month when the most recent grant amount changed in LOCCS.  If change occurred outside range, cell indicates "over 18 months ago".</t>
        </r>
      </text>
    </comment>
    <comment ref="N6" authorId="1" shapeId="0" xr:uid="{A459445E-EFDB-4F0D-A76D-875CB1612E11}">
      <text>
        <r>
          <rPr>
            <sz val="8"/>
            <color indexed="81"/>
            <rFont val="Tahoma"/>
            <family val="2"/>
          </rPr>
          <t xml:space="preserve">State changed PY start to July 1 for 2010 PY. 
PY 2009 extended to 18 months (1 Jan '09 - 30 Jun '10). </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C687548C-FF61-4405-8808-4FCFBDD18C92}">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62FDA8F8-D2DF-4676-83F2-0A70311B26B6}">
      <text>
        <r>
          <rPr>
            <b/>
            <sz val="8"/>
            <color indexed="81"/>
            <rFont val="Tahoma"/>
            <family val="2"/>
          </rPr>
          <t>Total Grants for all years listed in LOCCS</t>
        </r>
        <r>
          <rPr>
            <sz val="8"/>
            <color indexed="81"/>
            <rFont val="Tahoma"/>
            <family val="2"/>
          </rPr>
          <t xml:space="preserve">
</t>
        </r>
      </text>
    </comment>
    <comment ref="C2" authorId="0" shapeId="0" xr:uid="{C452CEB8-0409-4F1E-B3AB-001B9BCEEAEF}">
      <text>
        <r>
          <rPr>
            <b/>
            <sz val="8"/>
            <color indexed="81"/>
            <rFont val="Tahoma"/>
            <family val="2"/>
          </rPr>
          <t>Total expenditures for all grant years recorded in LOCCS</t>
        </r>
        <r>
          <rPr>
            <sz val="8"/>
            <color indexed="81"/>
            <rFont val="Tahoma"/>
            <family val="2"/>
          </rPr>
          <t xml:space="preserve">
</t>
        </r>
      </text>
    </comment>
    <comment ref="D2" authorId="0" shapeId="0" xr:uid="{0224216D-85DE-4AF3-85AC-FE6950A91542}">
      <text>
        <r>
          <rPr>
            <b/>
            <sz val="8"/>
            <color indexed="81"/>
            <rFont val="Tahoma"/>
            <family val="2"/>
          </rPr>
          <t>Column B minus Column C
Calculated from LOCCS data (all grants less all expenditures)</t>
        </r>
      </text>
    </comment>
    <comment ref="E2" authorId="0" shapeId="0" xr:uid="{8F0691F8-DFC3-4884-A0BB-EDD345A96139}">
      <text>
        <r>
          <rPr>
            <b/>
            <sz val="8"/>
            <color indexed="81"/>
            <rFont val="Tahoma"/>
            <family val="2"/>
          </rPr>
          <t>Total of previous 12 months expenditures recorded in LOCCS</t>
        </r>
      </text>
    </comment>
    <comment ref="F2" authorId="0" shapeId="0" xr:uid="{78983A83-A90F-4166-AFCF-EE99F1A3EC8E}">
      <text>
        <r>
          <rPr>
            <b/>
            <sz val="8"/>
            <color indexed="81"/>
            <rFont val="Tahoma"/>
            <family val="2"/>
          </rPr>
          <t xml:space="preserve">
As shown in LOCCS</t>
        </r>
      </text>
    </comment>
    <comment ref="G2" authorId="0" shapeId="0" xr:uid="{88B0AF40-1F4F-4937-A74D-B72B7B7B64BE}">
      <text>
        <r>
          <rPr>
            <b/>
            <sz val="8"/>
            <color indexed="81"/>
            <rFont val="Tahoma"/>
            <family val="2"/>
          </rPr>
          <t>Column D divided by Column F
Indicates # of years of funds available in terms of latest grant amt.</t>
        </r>
      </text>
    </comment>
    <comment ref="H2" authorId="0" shapeId="0" xr:uid="{41817EAA-C43E-4228-B507-6A13768D043E}">
      <text>
        <r>
          <rPr>
            <b/>
            <sz val="8"/>
            <color indexed="81"/>
            <rFont val="Tahoma"/>
            <family val="2"/>
          </rPr>
          <t>Column E divided by Column F
This draw-down rate should be 1 or more to avoid increasing balances.</t>
        </r>
      </text>
    </comment>
    <comment ref="I2" authorId="0" shapeId="0" xr:uid="{97482869-1779-49A8-A9E3-5F2BC0F56019}">
      <text>
        <r>
          <rPr>
            <b/>
            <sz val="8"/>
            <color indexed="81"/>
            <rFont val="Tahoma"/>
            <family val="2"/>
          </rPr>
          <t>Column E divided by 12
Indicates average dollar amount spent each of the last 12 months.</t>
        </r>
      </text>
    </comment>
    <comment ref="J2" authorId="0" shapeId="0" xr:uid="{C1984A87-B37F-497E-86DD-8B228E963FE7}">
      <text>
        <r>
          <rPr>
            <b/>
            <sz val="8"/>
            <color indexed="81"/>
            <rFont val="Tahoma"/>
            <family val="2"/>
          </rPr>
          <t>Indicates the number of months remaining until 60 days before end of current Program Year.</t>
        </r>
      </text>
    </comment>
    <comment ref="K2" authorId="0" shapeId="0" xr:uid="{92532CDD-2F47-40CB-A820-FC4C77E7E934}">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399071EE-97B5-4064-817B-FEC4329FCA50}">
      <text>
        <r>
          <rPr>
            <b/>
            <sz val="8"/>
            <color indexed="81"/>
            <rFont val="Tahoma"/>
            <family val="2"/>
          </rPr>
          <t>Monthly expenditure in dollars required to reduce unexpended balance to 2 times most recent grant amount by 60 days prior to end of current Program Year.</t>
        </r>
      </text>
    </comment>
    <comment ref="M2" authorId="0" shapeId="0" xr:uid="{B5DB1957-6802-41C0-A6B5-1998B7C9A85C}">
      <text>
        <r>
          <rPr>
            <b/>
            <sz val="8"/>
            <color indexed="81"/>
            <rFont val="Tahoma"/>
            <family val="2"/>
          </rPr>
          <t>Monthly expenditure in dollars required to reduce unexpended balance to 2.5 times most recent grant amount by 60 days prior to end of current Program Year.</t>
        </r>
      </text>
    </comment>
    <comment ref="N2" authorId="0" shapeId="0" xr:uid="{CDB2051E-FE18-4B4D-812E-20BF496CF3A1}">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C8AE5033-B35C-4F14-94F7-F788A2DC0B1C}">
      <text>
        <r>
          <rPr>
            <b/>
            <sz val="8"/>
            <color indexed="81"/>
            <rFont val="Tahoma"/>
            <family val="2"/>
          </rPr>
          <t xml:space="preserve">Starting date for the State's current Program Year
</t>
        </r>
      </text>
    </comment>
    <comment ref="P2" authorId="0" shapeId="0" xr:uid="{77A1C90C-6146-4271-92D6-684D76BC3485}">
      <text>
        <r>
          <rPr>
            <b/>
            <sz val="8"/>
            <color indexed="81"/>
            <rFont val="Tahoma"/>
            <family val="2"/>
          </rPr>
          <t>Column C minus prior month's Column C
Calculated from LOCCS data (all expenditures less all expenditures thru prior month)</t>
        </r>
      </text>
    </comment>
    <comment ref="Q2" authorId="0" shapeId="0" xr:uid="{04FA0AC1-220E-47B3-A286-874711927DBE}">
      <text>
        <r>
          <rPr>
            <b/>
            <sz val="8"/>
            <color indexed="81"/>
            <rFont val="Tahoma"/>
            <family val="2"/>
          </rPr>
          <t>Month when the most recent grant amount changed in LOCCS.  If change occurred outside range, cell indicates "over 18 months ago".</t>
        </r>
      </text>
    </comment>
    <comment ref="N6" authorId="1" shapeId="0" xr:uid="{C9AB0C8D-34B8-484D-80E5-96F1298F42FC}">
      <text>
        <r>
          <rPr>
            <sz val="8"/>
            <color indexed="81"/>
            <rFont val="Tahoma"/>
            <family val="2"/>
          </rPr>
          <t xml:space="preserve">State changed PY start to July 1 for 2010 PY. 
PY 2009 extended to 18 months (1 Jan '09 - 30 Jun '10). </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97E608AD-604D-468E-A890-5467430EC23D}">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4966EC0E-A230-4778-91A7-28AEA9DD808C}">
      <text>
        <r>
          <rPr>
            <b/>
            <sz val="8"/>
            <color indexed="81"/>
            <rFont val="Tahoma"/>
            <family val="2"/>
          </rPr>
          <t>Total Grants for all years listed in LOCCS</t>
        </r>
        <r>
          <rPr>
            <sz val="8"/>
            <color indexed="81"/>
            <rFont val="Tahoma"/>
            <family val="2"/>
          </rPr>
          <t xml:space="preserve">
</t>
        </r>
      </text>
    </comment>
    <comment ref="C2" authorId="0" shapeId="0" xr:uid="{B81CEBAE-B1EA-49FF-B16F-AC746C890A51}">
      <text>
        <r>
          <rPr>
            <b/>
            <sz val="8"/>
            <color indexed="81"/>
            <rFont val="Tahoma"/>
            <family val="2"/>
          </rPr>
          <t>Total expenditures for all grant years recorded in LOCCS</t>
        </r>
        <r>
          <rPr>
            <sz val="8"/>
            <color indexed="81"/>
            <rFont val="Tahoma"/>
            <family val="2"/>
          </rPr>
          <t xml:space="preserve">
</t>
        </r>
      </text>
    </comment>
    <comment ref="D2" authorId="0" shapeId="0" xr:uid="{BFB3CE01-BA11-4A79-B331-8492FC4BB4E7}">
      <text>
        <r>
          <rPr>
            <b/>
            <sz val="8"/>
            <color indexed="81"/>
            <rFont val="Tahoma"/>
            <family val="2"/>
          </rPr>
          <t>Column B minus Column C
Calculated from LOCCS data (all grants less all expenditures)</t>
        </r>
      </text>
    </comment>
    <comment ref="E2" authorId="0" shapeId="0" xr:uid="{A21E35DA-A7D8-425D-8A58-8A404877F8DB}">
      <text>
        <r>
          <rPr>
            <b/>
            <sz val="8"/>
            <color indexed="81"/>
            <rFont val="Tahoma"/>
            <family val="2"/>
          </rPr>
          <t>Total of previous 12 months expenditures recorded in LOCCS</t>
        </r>
      </text>
    </comment>
    <comment ref="F2" authorId="0" shapeId="0" xr:uid="{AE3EBEA8-FA95-404F-B34D-28DC4E65B62C}">
      <text>
        <r>
          <rPr>
            <b/>
            <sz val="8"/>
            <color indexed="81"/>
            <rFont val="Tahoma"/>
            <family val="2"/>
          </rPr>
          <t xml:space="preserve">
As shown in LOCCS</t>
        </r>
      </text>
    </comment>
    <comment ref="G2" authorId="0" shapeId="0" xr:uid="{E5556713-6330-4F75-AA5E-F3F5A67153E8}">
      <text>
        <r>
          <rPr>
            <b/>
            <sz val="8"/>
            <color indexed="81"/>
            <rFont val="Tahoma"/>
            <family val="2"/>
          </rPr>
          <t>Column D divided by Column F
Indicates # of years of funds available in terms of latest grant amt.</t>
        </r>
      </text>
    </comment>
    <comment ref="H2" authorId="0" shapeId="0" xr:uid="{4F95F395-1EAB-455D-AAD9-047133806282}">
      <text>
        <r>
          <rPr>
            <b/>
            <sz val="8"/>
            <color indexed="81"/>
            <rFont val="Tahoma"/>
            <family val="2"/>
          </rPr>
          <t>Column E divided by Column F
This draw-down rate should be 1 or more to avoid increasing balances.</t>
        </r>
      </text>
    </comment>
    <comment ref="I2" authorId="0" shapeId="0" xr:uid="{73B456C7-D74F-40DE-BA38-8ADC882A4565}">
      <text>
        <r>
          <rPr>
            <b/>
            <sz val="8"/>
            <color indexed="81"/>
            <rFont val="Tahoma"/>
            <family val="2"/>
          </rPr>
          <t>Column E divided by 12
Indicates average dollar amount spent each of the last 12 months.</t>
        </r>
      </text>
    </comment>
    <comment ref="J2" authorId="0" shapeId="0" xr:uid="{E1347D3D-2161-4C66-95EF-5CC23B98C307}">
      <text>
        <r>
          <rPr>
            <b/>
            <sz val="8"/>
            <color indexed="81"/>
            <rFont val="Tahoma"/>
            <family val="2"/>
          </rPr>
          <t>Indicates the number of months remaining until 60 days before end of current Program Year.</t>
        </r>
      </text>
    </comment>
    <comment ref="K2" authorId="0" shapeId="0" xr:uid="{197FC11C-1135-4553-9799-E01BB01BBF5A}">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C90B980F-A7A6-4F76-AA27-C2E2957BCE1B}">
      <text>
        <r>
          <rPr>
            <b/>
            <sz val="8"/>
            <color indexed="81"/>
            <rFont val="Tahoma"/>
            <family val="2"/>
          </rPr>
          <t>Monthly expenditure in dollars required to reduce unexpended balance to 2 times most recent grant amount by 60 days prior to end of current Program Year.</t>
        </r>
      </text>
    </comment>
    <comment ref="M2" authorId="0" shapeId="0" xr:uid="{C4807B1E-16EB-457B-B582-AC6E630AF8D3}">
      <text>
        <r>
          <rPr>
            <b/>
            <sz val="8"/>
            <color indexed="81"/>
            <rFont val="Tahoma"/>
            <family val="2"/>
          </rPr>
          <t>Monthly expenditure in dollars required to reduce unexpended balance to 2.5 times most recent grant amount by 60 days prior to end of current Program Year.</t>
        </r>
      </text>
    </comment>
    <comment ref="N2" authorId="0" shapeId="0" xr:uid="{3AE0CA64-B2CA-4B1A-8EEF-2385F915177C}">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86FD35E8-1479-415F-98E8-CE93D0AB4623}">
      <text>
        <r>
          <rPr>
            <b/>
            <sz val="8"/>
            <color indexed="81"/>
            <rFont val="Tahoma"/>
            <family val="2"/>
          </rPr>
          <t xml:space="preserve">Starting date for the State's current Program Year
</t>
        </r>
      </text>
    </comment>
    <comment ref="P2" authorId="0" shapeId="0" xr:uid="{72AE2004-F4FD-4F4F-BCA9-8F85A7527774}">
      <text>
        <r>
          <rPr>
            <b/>
            <sz val="8"/>
            <color indexed="81"/>
            <rFont val="Tahoma"/>
            <family val="2"/>
          </rPr>
          <t>Column C minus prior month's Column C
Calculated from LOCCS data (all expenditures less all expenditures thru prior month)</t>
        </r>
      </text>
    </comment>
    <comment ref="Q2" authorId="0" shapeId="0" xr:uid="{5649744A-C601-40F8-9921-DAC498276FEE}">
      <text>
        <r>
          <rPr>
            <b/>
            <sz val="8"/>
            <color indexed="81"/>
            <rFont val="Tahoma"/>
            <family val="2"/>
          </rPr>
          <t>Month when the most recent grant amount changed in LOCCS.  If change occurred outside range, cell indicates "over 18 months ago".</t>
        </r>
      </text>
    </comment>
    <comment ref="N6" authorId="1" shapeId="0" xr:uid="{1FA16B1F-9AEB-4DE1-8C57-7AD18FE53BBE}">
      <text>
        <r>
          <rPr>
            <sz val="8"/>
            <color indexed="81"/>
            <rFont val="Tahoma"/>
            <family val="2"/>
          </rPr>
          <t xml:space="preserve">State changed PY start to July 1 for 2010 PY. 
PY 2009 extended to 18 months (1 Jan '09 - 30 Jun '10). </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E2D19E5C-456C-4647-AD31-DD37383668AC}">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2118FF32-0EF6-4248-AE12-21947E4B7183}">
      <text>
        <r>
          <rPr>
            <b/>
            <sz val="8"/>
            <color indexed="81"/>
            <rFont val="Tahoma"/>
            <family val="2"/>
          </rPr>
          <t>Total Grants for all years listed in LOCCS</t>
        </r>
        <r>
          <rPr>
            <sz val="8"/>
            <color indexed="81"/>
            <rFont val="Tahoma"/>
            <family val="2"/>
          </rPr>
          <t xml:space="preserve">
</t>
        </r>
      </text>
    </comment>
    <comment ref="C2" authorId="0" shapeId="0" xr:uid="{594F7E2E-0076-41E2-8DBD-82AA42AE04AE}">
      <text>
        <r>
          <rPr>
            <b/>
            <sz val="8"/>
            <color indexed="81"/>
            <rFont val="Tahoma"/>
            <family val="2"/>
          </rPr>
          <t>Total expenditures for all grant years recorded in LOCCS</t>
        </r>
        <r>
          <rPr>
            <sz val="8"/>
            <color indexed="81"/>
            <rFont val="Tahoma"/>
            <family val="2"/>
          </rPr>
          <t xml:space="preserve">
</t>
        </r>
      </text>
    </comment>
    <comment ref="D2" authorId="0" shapeId="0" xr:uid="{BA5441AC-B5A1-4684-870A-8339F7E8A444}">
      <text>
        <r>
          <rPr>
            <b/>
            <sz val="8"/>
            <color indexed="81"/>
            <rFont val="Tahoma"/>
            <family val="2"/>
          </rPr>
          <t>Column B minus Column C
Calculated from LOCCS data (all grants less all expenditures)</t>
        </r>
      </text>
    </comment>
    <comment ref="E2" authorId="0" shapeId="0" xr:uid="{895DD5F6-1878-4F95-BB94-7DF45981F22A}">
      <text>
        <r>
          <rPr>
            <b/>
            <sz val="8"/>
            <color indexed="81"/>
            <rFont val="Tahoma"/>
            <family val="2"/>
          </rPr>
          <t>Total of previous 12 months expenditures recorded in LOCCS</t>
        </r>
      </text>
    </comment>
    <comment ref="F2" authorId="0" shapeId="0" xr:uid="{A5575154-21AB-4090-B67A-5C89530BDB0A}">
      <text>
        <r>
          <rPr>
            <b/>
            <sz val="8"/>
            <color indexed="81"/>
            <rFont val="Tahoma"/>
            <family val="2"/>
          </rPr>
          <t xml:space="preserve">
As shown in LOCCS</t>
        </r>
      </text>
    </comment>
    <comment ref="G2" authorId="0" shapeId="0" xr:uid="{9ED11C91-20ED-4B4B-B79B-9E6CE756621F}">
      <text>
        <r>
          <rPr>
            <b/>
            <sz val="8"/>
            <color indexed="81"/>
            <rFont val="Tahoma"/>
            <family val="2"/>
          </rPr>
          <t>Column D divided by Column F
Indicates # of years of funds available in terms of latest grant amt.</t>
        </r>
      </text>
    </comment>
    <comment ref="H2" authorId="0" shapeId="0" xr:uid="{A10C7C28-A671-49F6-B875-97037D894CD9}">
      <text>
        <r>
          <rPr>
            <b/>
            <sz val="8"/>
            <color indexed="81"/>
            <rFont val="Tahoma"/>
            <family val="2"/>
          </rPr>
          <t>Column E divided by Column F
This draw-down rate should be 1 or more to avoid increasing balances.</t>
        </r>
      </text>
    </comment>
    <comment ref="I2" authorId="0" shapeId="0" xr:uid="{FAFECE89-8A95-4554-9DCD-4928C910BECE}">
      <text>
        <r>
          <rPr>
            <b/>
            <sz val="8"/>
            <color indexed="81"/>
            <rFont val="Tahoma"/>
            <family val="2"/>
          </rPr>
          <t>Column E divided by 12
Indicates average dollar amount spent each of the last 12 months.</t>
        </r>
      </text>
    </comment>
    <comment ref="J2" authorId="0" shapeId="0" xr:uid="{D2A6E3E3-4B81-40F9-AFF7-538A99982950}">
      <text>
        <r>
          <rPr>
            <b/>
            <sz val="8"/>
            <color indexed="81"/>
            <rFont val="Tahoma"/>
            <family val="2"/>
          </rPr>
          <t>Indicates the number of months remaining until 60 days before end of current Program Year.</t>
        </r>
      </text>
    </comment>
    <comment ref="K2" authorId="0" shapeId="0" xr:uid="{1A0E7865-24D6-455C-B995-AD929972B1CE}">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0B47704C-B74D-4B6D-A2C1-D387F501CA9C}">
      <text>
        <r>
          <rPr>
            <b/>
            <sz val="8"/>
            <color indexed="81"/>
            <rFont val="Tahoma"/>
            <family val="2"/>
          </rPr>
          <t>Monthly expenditure in dollars required to reduce unexpended balance to 2 times most recent grant amount by 60 days prior to end of current Program Year.</t>
        </r>
      </text>
    </comment>
    <comment ref="M2" authorId="0" shapeId="0" xr:uid="{AC02FBF7-581D-4219-9A22-0FBA89EF9004}">
      <text>
        <r>
          <rPr>
            <b/>
            <sz val="8"/>
            <color indexed="81"/>
            <rFont val="Tahoma"/>
            <family val="2"/>
          </rPr>
          <t>Monthly expenditure in dollars required to reduce unexpended balance to 2.5 times most recent grant amount by 60 days prior to end of current Program Year.</t>
        </r>
      </text>
    </comment>
    <comment ref="N2" authorId="0" shapeId="0" xr:uid="{0B304187-2F79-4002-A014-A556BD3DD576}">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D96B2F08-7171-457B-8622-E62C63BDCAF0}">
      <text>
        <r>
          <rPr>
            <b/>
            <sz val="8"/>
            <color indexed="81"/>
            <rFont val="Tahoma"/>
            <family val="2"/>
          </rPr>
          <t xml:space="preserve">Starting date for the State's current Program Year
</t>
        </r>
      </text>
    </comment>
    <comment ref="P2" authorId="0" shapeId="0" xr:uid="{FDFE3081-7D4D-43D3-BD09-63F37C5BC1FC}">
      <text>
        <r>
          <rPr>
            <b/>
            <sz val="8"/>
            <color indexed="81"/>
            <rFont val="Tahoma"/>
            <family val="2"/>
          </rPr>
          <t>Column C minus prior month's Column C
Calculated from LOCCS data (all expenditures less all expenditures thru prior month)</t>
        </r>
      </text>
    </comment>
    <comment ref="Q2" authorId="0" shapeId="0" xr:uid="{D52C18FF-9BC4-4ECF-9AB7-B8C4ED61753E}">
      <text>
        <r>
          <rPr>
            <b/>
            <sz val="8"/>
            <color indexed="81"/>
            <rFont val="Tahoma"/>
            <family val="2"/>
          </rPr>
          <t>Month when the most recent grant amount changed in LOCCS.  If change occurred outside range, cell indicates "over 18 months ago".</t>
        </r>
      </text>
    </comment>
    <comment ref="N23" authorId="1" shapeId="0" xr:uid="{41C4A95B-6B3E-4556-BFE9-0DF24BC790CE}">
      <text>
        <r>
          <rPr>
            <sz val="8"/>
            <color indexed="81"/>
            <rFont val="Tahoma"/>
            <family val="2"/>
          </rPr>
          <t xml:space="preserve">State changed PY start to July 1 for 2010 PY. 
PY 2009 extended to 18 months (1 Jan '09 - 30 Jun '10). </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Preferred User</author>
  </authors>
  <commentList>
    <comment ref="H1" authorId="0" shapeId="0" xr:uid="{D0598201-C0B4-4713-9989-035ED7E7E5B1}">
      <text>
        <r>
          <rPr>
            <sz val="8"/>
            <color indexed="81"/>
            <rFont val="Tahoma"/>
            <family val="2"/>
          </rPr>
          <t>This number comes from the congressional budget allocation</t>
        </r>
      </text>
    </comment>
    <comment ref="T1" authorId="0" shapeId="0" xr:uid="{A0155C41-7189-46CF-8763-AB3585FAF234}">
      <text>
        <r>
          <rPr>
            <sz val="8"/>
            <color indexed="81"/>
            <rFont val="Tahoma"/>
            <family val="2"/>
          </rPr>
          <t>This number comes from the congressional budget allocation</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J. McCann</author>
  </authors>
  <commentList>
    <comment ref="X2" authorId="0" shapeId="0" xr:uid="{6A3513CE-0CD5-45ED-A5A7-A445899B6E64}">
      <text>
        <r>
          <rPr>
            <sz val="10"/>
            <color indexed="81"/>
            <rFont val="Tahoma"/>
            <family val="2"/>
          </rPr>
          <t>lower # is "better"</t>
        </r>
      </text>
    </comment>
    <comment ref="X3" authorId="0" shapeId="0" xr:uid="{729C9951-2AAA-45C7-937E-B0C0FE251305}">
      <text>
        <r>
          <rPr>
            <sz val="10"/>
            <color indexed="81"/>
            <rFont val="Tahoma"/>
            <family val="2"/>
          </rPr>
          <t xml:space="preserve">lower # is "better"
</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H00367</author>
    <author>Preferred User</author>
  </authors>
  <commentList>
    <comment ref="D1" authorId="0" shapeId="0" xr:uid="{DC659E6B-DB3B-42A2-8379-E14A63A342C5}">
      <text>
        <r>
          <rPr>
            <sz val="8"/>
            <color indexed="81"/>
            <rFont val="Tahoma"/>
            <family val="2"/>
          </rPr>
          <t xml:space="preserve">A rank of "1" is "best". 
HUD uses ratios to evaluate each state individually and does not consider relative "rankings".
</t>
        </r>
      </text>
    </comment>
    <comment ref="L2" authorId="1" shapeId="0" xr:uid="{BC9A34EE-2059-42A8-A48D-1FB9DFA4E7FB}">
      <text>
        <r>
          <rPr>
            <b/>
            <sz val="8"/>
            <color indexed="81"/>
            <rFont val="Tahoma"/>
            <family val="2"/>
          </rPr>
          <t>This automatically sorts the first table by Program Yr Start Date and then by “Ratio of Unexpended to grant…” Notice that the table is divided up with horizontal lines.  These lines separate the States into groups according to their program year start dates.  Furthermore, this macro button sorts the second table by the overall “Ratio of Unexpended to grant…”</t>
        </r>
        <r>
          <rPr>
            <sz val="8"/>
            <color indexed="81"/>
            <rFont val="Tahoma"/>
            <family val="2"/>
          </rPr>
          <t xml:space="preserve">
</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HUD</author>
    <author>DGBS/jpm</author>
    <author>J. McCann</author>
  </authors>
  <commentList>
    <comment ref="A1" authorId="0" shapeId="0" xr:uid="{FC39B5A1-3635-4520-9EC3-2859BFB81C54}">
      <text>
        <r>
          <rPr>
            <b/>
            <sz val="8"/>
            <color indexed="81"/>
            <rFont val="Tahoma"/>
            <family val="2"/>
          </rPr>
          <t>HUD:</t>
        </r>
        <r>
          <rPr>
            <sz val="8"/>
            <color indexed="81"/>
            <rFont val="Tahoma"/>
            <family val="2"/>
          </rPr>
          <t xml:space="preserve">
Use the auto-filter selection arrow to choose a state or Program Yr start month for display in the graphs below</t>
        </r>
      </text>
    </comment>
    <comment ref="D1" authorId="1" shapeId="0" xr:uid="{66B525B3-BE3D-4689-A133-EFECC3D4C7EF}">
      <text>
        <r>
          <rPr>
            <sz val="8"/>
            <color indexed="81"/>
            <rFont val="Tahoma"/>
            <family val="2"/>
          </rPr>
          <t>Highlighting:
Yellow = 2 to 2.5
Pink &gt; 2.5</t>
        </r>
      </text>
    </comment>
    <comment ref="AE2" authorId="2" shapeId="0" xr:uid="{CCE845B5-F607-4942-B470-CE575ED9DEE3}">
      <text>
        <r>
          <rPr>
            <sz val="8"/>
            <color indexed="81"/>
            <rFont val="Tahoma"/>
            <family val="2"/>
          </rPr>
          <t>unspent balance is ranked from lowest ratio to highest (ascending) ratio.
Low # rank is better.</t>
        </r>
        <r>
          <rPr>
            <b/>
            <sz val="8"/>
            <color indexed="81"/>
            <rFont val="Tahoma"/>
            <family val="2"/>
          </rPr>
          <t xml:space="preserve"> </t>
        </r>
      </text>
    </comment>
    <comment ref="BF2" authorId="2" shapeId="0" xr:uid="{4F568C3A-ECC3-48B0-ADCA-608CA086CCAA}">
      <text>
        <r>
          <rPr>
            <sz val="8"/>
            <color indexed="81"/>
            <rFont val="Tahoma"/>
            <family val="2"/>
          </rPr>
          <t xml:space="preserve">spending rate is ranked from highest rate to lowest (descending rate). Low # rank is better. </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Preferred User</author>
    <author>J. McCann</author>
  </authors>
  <commentList>
    <comment ref="A2" authorId="0" shapeId="0" xr:uid="{824B020D-843F-450D-A55B-6A361E2448F9}">
      <text>
        <r>
          <rPr>
            <b/>
            <sz val="8"/>
            <color indexed="81"/>
            <rFont val="Tahoma"/>
            <family val="2"/>
          </rPr>
          <t>Full name of State
(States are sorted by "Ratio Unexpended to Grant" in Col G)</t>
        </r>
        <r>
          <rPr>
            <sz val="8"/>
            <color indexed="81"/>
            <rFont val="Tahoma"/>
            <family val="2"/>
          </rPr>
          <t xml:space="preserve">
</t>
        </r>
      </text>
    </comment>
    <comment ref="B2" authorId="0" shapeId="0" xr:uid="{FCCDCE87-7905-437D-B50E-5B88929C96EA}">
      <text>
        <r>
          <rPr>
            <b/>
            <sz val="8"/>
            <color indexed="81"/>
            <rFont val="Tahoma"/>
            <family val="2"/>
          </rPr>
          <t>Total Grants for all years listed in LOCCS</t>
        </r>
        <r>
          <rPr>
            <sz val="8"/>
            <color indexed="81"/>
            <rFont val="Tahoma"/>
            <family val="2"/>
          </rPr>
          <t xml:space="preserve">
</t>
        </r>
      </text>
    </comment>
    <comment ref="C2" authorId="0" shapeId="0" xr:uid="{BBE7F88F-6146-4B96-A7D6-0A9B1CCB2EFB}">
      <text>
        <r>
          <rPr>
            <b/>
            <sz val="8"/>
            <color indexed="81"/>
            <rFont val="Tahoma"/>
            <family val="2"/>
          </rPr>
          <t>Total expenditures for all grant years recorded in LOCCS</t>
        </r>
        <r>
          <rPr>
            <sz val="8"/>
            <color indexed="81"/>
            <rFont val="Tahoma"/>
            <family val="2"/>
          </rPr>
          <t xml:space="preserve">
</t>
        </r>
      </text>
    </comment>
    <comment ref="D2" authorId="0" shapeId="0" xr:uid="{C9771C8F-403C-4FD2-93F1-D65477BB079F}">
      <text>
        <r>
          <rPr>
            <b/>
            <sz val="8"/>
            <color indexed="81"/>
            <rFont val="Tahoma"/>
            <family val="2"/>
          </rPr>
          <t>Column B minus Column C
Calculated from LOCCS data (all grants less all expenditures)</t>
        </r>
      </text>
    </comment>
    <comment ref="E2" authorId="0" shapeId="0" xr:uid="{5CA1ACCB-5F94-4DAB-B8C4-BD0806C25936}">
      <text>
        <r>
          <rPr>
            <b/>
            <sz val="8"/>
            <color indexed="81"/>
            <rFont val="Tahoma"/>
            <family val="2"/>
          </rPr>
          <t>Total of previous 12 months expenditures recorded in LOCCS</t>
        </r>
      </text>
    </comment>
    <comment ref="F2" authorId="0" shapeId="0" xr:uid="{FF6E028A-DFC2-41ED-A815-CC5BE091F819}">
      <text>
        <r>
          <rPr>
            <b/>
            <sz val="8"/>
            <color indexed="81"/>
            <rFont val="Tahoma"/>
            <family val="2"/>
          </rPr>
          <t xml:space="preserve">
As shown in LOCCS</t>
        </r>
      </text>
    </comment>
    <comment ref="G2" authorId="0" shapeId="0" xr:uid="{0B60AAE8-23EB-4C66-8A08-35B59DE54EFA}">
      <text>
        <r>
          <rPr>
            <b/>
            <sz val="8"/>
            <color indexed="81"/>
            <rFont val="Tahoma"/>
            <family val="2"/>
          </rPr>
          <t>Column D divided by Column F
Indicates # of years of funds available in terms of latest grant amt.</t>
        </r>
      </text>
    </comment>
    <comment ref="H2" authorId="0" shapeId="0" xr:uid="{F7763A80-F38A-4ACF-A2A6-8DE8FADDC02A}">
      <text>
        <r>
          <rPr>
            <b/>
            <sz val="8"/>
            <color indexed="81"/>
            <rFont val="Tahoma"/>
            <family val="2"/>
          </rPr>
          <t>Column E divided by Column F
This draw-down rate should be 1 or more to avoid increasing balances.</t>
        </r>
      </text>
    </comment>
    <comment ref="I2" authorId="0" shapeId="0" xr:uid="{61C48E5F-A07E-4D0A-9098-2FFD933DF9B9}">
      <text>
        <r>
          <rPr>
            <b/>
            <sz val="8"/>
            <color indexed="81"/>
            <rFont val="Tahoma"/>
            <family val="2"/>
          </rPr>
          <t>Column E divided by 12
Indicates average dollar amount spent each of the last 12 months.</t>
        </r>
      </text>
    </comment>
    <comment ref="J2" authorId="0" shapeId="0" xr:uid="{C561F268-E122-47FC-9DE2-83FC8AF7EE2E}">
      <text>
        <r>
          <rPr>
            <b/>
            <sz val="8"/>
            <color indexed="81"/>
            <rFont val="Tahoma"/>
            <family val="2"/>
          </rPr>
          <t>Indicates the number of months remaining until 60 days before end of current Program Year.</t>
        </r>
      </text>
    </comment>
    <comment ref="K2" authorId="0" shapeId="0" xr:uid="{E3BD5FE5-FDFD-4426-8BA9-1F69DA7F23A8}">
      <text>
        <r>
          <rPr>
            <b/>
            <sz val="8"/>
            <color indexed="81"/>
            <rFont val="Tahoma"/>
            <family val="2"/>
          </rPr>
          <t xml:space="preserve">Column D minus (Column I times Column J)
Expected balance at 60 days before end of Program Year if expenditures continue at previous 12-month rate. </t>
        </r>
      </text>
    </comment>
    <comment ref="L2" authorId="0" shapeId="0" xr:uid="{89B9E579-674E-4422-A2A6-E1A4CDBC2579}">
      <text>
        <r>
          <rPr>
            <b/>
            <sz val="8"/>
            <color indexed="81"/>
            <rFont val="Tahoma"/>
            <family val="2"/>
          </rPr>
          <t>Monthly expenditure in dollars required to reduce unexpended balance to 2 times most recent grant amount by 60 days prior to end of current Program Year.</t>
        </r>
      </text>
    </comment>
    <comment ref="M2" authorId="0" shapeId="0" xr:uid="{DF5162AE-284F-4340-81E8-D451915EE5B8}">
      <text>
        <r>
          <rPr>
            <b/>
            <sz val="8"/>
            <color indexed="81"/>
            <rFont val="Tahoma"/>
            <family val="2"/>
          </rPr>
          <t>Monthly expenditure in dollars required to reduce unexpended balance to 2.5 times most recent grant amount by 60 days prior to end of current Program Year.</t>
        </r>
      </text>
    </comment>
    <comment ref="N2" authorId="0" shapeId="0" xr:uid="{2FB1A66F-6299-47E6-A630-721AD78D4555}">
      <text>
        <r>
          <rPr>
            <b/>
            <sz val="8"/>
            <color indexed="81"/>
            <rFont val="Tahoma"/>
            <family val="2"/>
          </rPr>
          <t xml:space="preserve">Start date of the program year within the current program year
</t>
        </r>
        <r>
          <rPr>
            <sz val="8"/>
            <color indexed="81"/>
            <rFont val="Tahoma"/>
            <family val="2"/>
          </rPr>
          <t xml:space="preserve">
</t>
        </r>
      </text>
    </comment>
    <comment ref="O2" authorId="0" shapeId="0" xr:uid="{E4AF6D0B-9E39-45F4-A474-24200E0509E3}">
      <text>
        <r>
          <rPr>
            <b/>
            <sz val="8"/>
            <color indexed="81"/>
            <rFont val="Tahoma"/>
            <family val="2"/>
          </rPr>
          <t xml:space="preserve">Starting date for the State's current Program Year
</t>
        </r>
      </text>
    </comment>
    <comment ref="P2" authorId="0" shapeId="0" xr:uid="{0DADD13E-75CE-48D9-946A-D6D0B77125D7}">
      <text>
        <r>
          <rPr>
            <b/>
            <sz val="8"/>
            <color indexed="81"/>
            <rFont val="Tahoma"/>
            <family val="2"/>
          </rPr>
          <t>Column C minus prior month's Column C
Calculated from LOCCS data (all expenditures less all expenditures thru prior month)</t>
        </r>
      </text>
    </comment>
    <comment ref="Q2" authorId="0" shapeId="0" xr:uid="{A148A311-A623-48D8-AC43-C07B4D54BB96}">
      <text>
        <r>
          <rPr>
            <b/>
            <sz val="8"/>
            <color indexed="81"/>
            <rFont val="Tahoma"/>
            <family val="2"/>
          </rPr>
          <t>Month when the most recent grant amount changed in LOCCS.  If change occurred outside range, cell indicates "over 18 months ago".</t>
        </r>
      </text>
    </comment>
    <comment ref="N23" authorId="1" shapeId="0" xr:uid="{FEB6F84D-5E96-4B91-916E-F75EE7B4B08E}">
      <text>
        <r>
          <rPr>
            <sz val="8"/>
            <color indexed="81"/>
            <rFont val="Tahoma"/>
            <family val="2"/>
          </rPr>
          <t xml:space="preserve">State changed PY start to July 1 for 2010 PY. 
PY 2009 extended to 18 months (1 Jan '09 - 30 Jun '10). </t>
        </r>
      </text>
    </comment>
  </commentList>
</comments>
</file>

<file path=xl/sharedStrings.xml><?xml version="1.0" encoding="utf-8"?>
<sst xmlns="http://schemas.openxmlformats.org/spreadsheetml/2006/main" count="3704" uniqueCount="310">
  <si>
    <t>State Name</t>
  </si>
  <si>
    <t>Amount Of Open Grants</t>
  </si>
  <si>
    <t>Total Expended from Open Grants</t>
  </si>
  <si>
    <t>Total Unexpended from Open Grants</t>
  </si>
  <si>
    <t>Amount Expended Last 12 Months</t>
  </si>
  <si>
    <t>Most Recent Grant Amount</t>
  </si>
  <si>
    <t>Ratio Unexpended To Grant</t>
  </si>
  <si>
    <t>Ratio Expended Last 12 Months to Grant</t>
  </si>
  <si>
    <t>avg monthly expenditure last 12 mos</t>
  </si>
  <si>
    <t>mos remaining to goal</t>
  </si>
  <si>
    <t>Projected bal 60 days before end of PY</t>
  </si>
  <si>
    <t>monthly spending to reach 2x goal</t>
  </si>
  <si>
    <t>monthly spending to reach 2.5x goal</t>
  </si>
  <si>
    <t>Current Pgm Yr start</t>
  </si>
  <si>
    <t>latest month's expenditure</t>
  </si>
  <si>
    <t>ALABAMA</t>
  </si>
  <si>
    <t>ALASKA</t>
  </si>
  <si>
    <t>ARIZONA</t>
  </si>
  <si>
    <t>ARKANSAS</t>
  </si>
  <si>
    <t>CALIFORNIA</t>
  </si>
  <si>
    <t>COLORADO</t>
  </si>
  <si>
    <t>CONNECTICUT</t>
  </si>
  <si>
    <t>DELAWARE</t>
  </si>
  <si>
    <t>FLORIDA</t>
  </si>
  <si>
    <t>GEORGIA</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</si>
  <si>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</si>
  <si>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</si>
  <si>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</si>
  <si>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</si>
  <si>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</si>
  <si>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</si>
  <si>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</si>
  <si>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</si>
  <si>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</si>
  <si>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</si>
  <si>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</si>
  <si>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</si>
  <si>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</si>
  <si>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</si>
  <si>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</si>
  <si>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</si>
  <si>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</si>
  <si>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</si>
  <si>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</si>
  <si>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</si>
  <si>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</si>
  <si>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</si>
  <si>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</si>
  <si>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</si>
  <si>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</si>
  <si>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</si>
  <si>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</si>
  <si>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</si>
  <si>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</si>
  <si>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</si>
  <si>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</si>
  <si>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</si>
  <si>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</si>
  <si>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</si>
  <si>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</si>
  <si>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</si>
  <si>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WASHINGTON</t>
  </si>
  <si>
    <t>WEST VIRGINIA</t>
  </si>
  <si>
    <t>WISCONSIN</t>
  </si>
  <si>
    <t>WYOMING</t>
  </si>
  <si>
    <t>TOTALS:</t>
  </si>
  <si>
    <t>Number of states with unexpended balance greater than 2.5:</t>
  </si>
  <si>
    <t>Number of states with expenditure rate less than 1:</t>
  </si>
  <si>
    <t>All States</t>
  </si>
  <si>
    <t>Oct</t>
  </si>
  <si>
    <t>Jan</t>
  </si>
  <si>
    <t>Feb</t>
  </si>
  <si>
    <t>Apr</t>
  </si>
  <si>
    <t>Jul</t>
  </si>
  <si>
    <t>Unexpended Ratio</t>
  </si>
  <si>
    <t>Unexpended $$ (billions)</t>
  </si>
  <si>
    <t>Enter your State abbreviation in cell A2 to see chart for your state:</t>
  </si>
  <si>
    <t>NV</t>
  </si>
  <si>
    <t>Current Program Year Start:</t>
  </si>
  <si>
    <t>Most Recent Grant Amount:</t>
  </si>
  <si>
    <t>Rank by Unexpended ratio (average ratio last 12 mo):</t>
  </si>
  <si>
    <t>latest month's expenditure:</t>
  </si>
  <si>
    <t>AL</t>
  </si>
  <si>
    <t>AK</t>
  </si>
  <si>
    <t>AZ</t>
  </si>
  <si>
    <t>AR</t>
  </si>
  <si>
    <t>CA</t>
  </si>
  <si>
    <t>CO</t>
  </si>
  <si>
    <t>CT</t>
  </si>
  <si>
    <t>DE</t>
  </si>
  <si>
    <t>FL</t>
  </si>
  <si>
    <t>GA</t>
  </si>
  <si>
    <t>ID</t>
  </si>
  <si>
    <t>IL</t>
  </si>
  <si>
    <t>IN</t>
  </si>
  <si>
    <t>IA</t>
  </si>
  <si>
    <t>KS</t>
  </si>
  <si>
    <t>KY</t>
  </si>
  <si>
    <t>LA</t>
  </si>
  <si>
    <t>ME</t>
  </si>
  <si>
    <t>MD</t>
  </si>
  <si>
    <t>MA</t>
  </si>
  <si>
    <t>MI</t>
  </si>
  <si>
    <t>MN</t>
  </si>
  <si>
    <t>MS</t>
  </si>
  <si>
    <t>MO</t>
  </si>
  <si>
    <t>MT</t>
  </si>
  <si>
    <t>NE</t>
  </si>
  <si>
    <t>NH</t>
  </si>
  <si>
    <t>NJ</t>
  </si>
  <si>
    <t>NM</t>
  </si>
  <si>
    <t>NY</t>
  </si>
  <si>
    <t>NC</t>
  </si>
  <si>
    <t>ND</t>
  </si>
  <si>
    <t>OH</t>
  </si>
  <si>
    <t>OK</t>
  </si>
  <si>
    <t>OR</t>
  </si>
  <si>
    <t>PA</t>
  </si>
  <si>
    <t>PR</t>
  </si>
  <si>
    <t>RI</t>
  </si>
  <si>
    <t>SC</t>
  </si>
  <si>
    <t>SD</t>
  </si>
  <si>
    <t>TN</t>
  </si>
  <si>
    <t>TX</t>
  </si>
  <si>
    <t>UT</t>
  </si>
  <si>
    <t>VT</t>
  </si>
  <si>
    <t>VA</t>
  </si>
  <si>
    <t>WA</t>
  </si>
  <si>
    <t>WV</t>
  </si>
  <si>
    <t>WI</t>
  </si>
  <si>
    <t>WY</t>
  </si>
  <si>
    <t>Rank within Program Year Group</t>
  </si>
  <si>
    <t>Program Yr start</t>
  </si>
  <si>
    <t>PY Rank by Expend rate (12 mo avg)</t>
  </si>
  <si>
    <t>Rank among all State Grantees</t>
  </si>
  <si>
    <t>As of:</t>
  </si>
  <si>
    <t>State</t>
  </si>
  <si>
    <t>US</t>
  </si>
  <si>
    <t>Line</t>
  </si>
  <si>
    <t>of Credit Control Sy</t>
  </si>
  <si>
    <t>stem (LOCCS)</t>
  </si>
  <si>
    <t>State A</t>
  </si>
  <si>
    <t>llocation of Expendi</t>
  </si>
  <si>
    <t>ture Report</t>
  </si>
  <si>
    <t>For</t>
  </si>
  <si>
    <t>CPD Block Grant Prog</t>
  </si>
  <si>
    <t>rams</t>
  </si>
  <si>
    <t>Stat</t>
  </si>
  <si>
    <t>e Rankings</t>
  </si>
  <si>
    <t>--------------------</t>
  </si>
  <si>
    <t>Amount Of</t>
  </si>
  <si>
    <t>Total Expended</t>
  </si>
  <si>
    <t>Amount Expended</t>
  </si>
  <si>
    <t>Most Recent</t>
  </si>
  <si>
    <t>Open Grants</t>
  </si>
  <si>
    <t>from Open Grant</t>
  </si>
  <si>
    <t>s     Last 12 Months</t>
  </si>
  <si>
    <t>Grant  Amount</t>
  </si>
  <si>
    <t>Totals:</t>
  </si>
  <si>
    <t>Run Date:</t>
  </si>
  <si>
    <t>Check Total for "Total Expended from Open Grant"</t>
  </si>
  <si>
    <t>Check Total for "Amount of Open Grants"</t>
  </si>
  <si>
    <t>Check Total for "Amount Expended in Last 12 Months"</t>
  </si>
  <si>
    <t>Check Total for "Most Recent Grant Amount"</t>
  </si>
  <si>
    <t>Check "Ratio Unexpended to Grant" per State</t>
  </si>
  <si>
    <t>Check "Ratio Expended Last 12 Months" per State</t>
  </si>
  <si>
    <t xml:space="preserve">   Paste data from the text import of Rankings below line (with cursor in cell A19)</t>
  </si>
  <si>
    <t>Current Month:</t>
  </si>
  <si>
    <t xml:space="preserve">LOCCS Data Checks </t>
  </si>
  <si>
    <t>Past Months:</t>
  </si>
  <si>
    <t>Past Trends for Ratios of Unexpended Funds to Grant, by State</t>
  </si>
  <si>
    <t>Total Unexpended</t>
  </si>
  <si>
    <t>12 month trends</t>
  </si>
  <si>
    <t>Max</t>
  </si>
  <si>
    <t>Min</t>
  </si>
  <si>
    <t>Average</t>
  </si>
  <si>
    <r>
      <rPr>
        <sz val="8"/>
        <rFont val="Calibri"/>
        <family val="2"/>
      </rPr>
      <t>($$ in billions)</t>
    </r>
    <r>
      <rPr>
        <sz val="10"/>
        <rFont val="Calibri"/>
        <family val="2"/>
      </rPr>
      <t>:</t>
    </r>
  </si>
  <si>
    <t>Rank</t>
  </si>
  <si>
    <t>Past Trends for Ratios of Average 12 Month Spending to Grant Amount, by State</t>
  </si>
  <si>
    <t xml:space="preserve">Rank by Unexpended ratio </t>
  </si>
  <si>
    <t>12 Month Average Unexpended Ratio</t>
  </si>
  <si>
    <t xml:space="preserve">Rank by 12 mo. average </t>
  </si>
  <si>
    <t>Ratio Average Expenditure (12 mo.) to Grant Amount</t>
  </si>
  <si>
    <t>12 Month Average Expenditure Rate</t>
  </si>
  <si>
    <t>Rank by Expenditure Rate</t>
  </si>
  <si>
    <t>Months remaining to goal</t>
  </si>
  <si>
    <t>Avg monthly expenditure last 12 mos</t>
  </si>
  <si>
    <t>Monthly spending to reach 2x goal</t>
  </si>
  <si>
    <t>Monthly spending to reach 2.5x goal</t>
  </si>
  <si>
    <t>Expenditure Rate</t>
  </si>
  <si>
    <t>Rank by Expenditure Rate (average rate last 12 mo):</t>
  </si>
  <si>
    <t>Expenditure Ratio</t>
  </si>
  <si>
    <t>on track</t>
  </si>
  <si>
    <t>NA</t>
  </si>
  <si>
    <t xml:space="preserve"> PY Start</t>
  </si>
  <si>
    <t>should appear in MM/DD/YYYY format</t>
  </si>
  <si>
    <t>Guide to Timely Expenditure LOCCS Report Table</t>
  </si>
  <si>
    <t>Column</t>
  </si>
  <si>
    <t>Column Title</t>
  </si>
  <si>
    <t>Column Description</t>
  </si>
  <si>
    <t>A</t>
  </si>
  <si>
    <t>Full name of State
(States are sorted by "Ratio Unexpended to Grant" in Col G)</t>
  </si>
  <si>
    <t>B</t>
  </si>
  <si>
    <t>Amount Of Open Grants (Hidden)</t>
  </si>
  <si>
    <t>Total Grants for all years listed in LOCCS</t>
  </si>
  <si>
    <t>C</t>
  </si>
  <si>
    <t>Total Expended from Open Grants (Hidden)</t>
  </si>
  <si>
    <t>Total expenditures for all grant years recorded in LOCCS</t>
  </si>
  <si>
    <t>D</t>
  </si>
  <si>
    <t>E</t>
  </si>
  <si>
    <t>Total of previous 12 months expenditures recorded in LOCCS</t>
  </si>
  <si>
    <t>F</t>
  </si>
  <si>
    <t>As shown in LOCCS</t>
  </si>
  <si>
    <t>G</t>
  </si>
  <si>
    <t>H</t>
  </si>
  <si>
    <t>I</t>
  </si>
  <si>
    <t>J</t>
  </si>
  <si>
    <t>Indicates the number of months remaining until 60 days before end of current Program Year.</t>
  </si>
  <si>
    <t>K</t>
  </si>
  <si>
    <t>L</t>
  </si>
  <si>
    <t>Monthly expenditure in dollars required to reduce unexpended balance to 2 times most recent grant amount by 60 days prior to end of current Program Year.</t>
  </si>
  <si>
    <t>M</t>
  </si>
  <si>
    <t>Monthly expenditure in dollars required to reduce unexpended balance to 2.5 times most recent grant amount by 60 days prior to end of current Program Year.</t>
  </si>
  <si>
    <t>N</t>
  </si>
  <si>
    <t>PY Start (Hidden)</t>
  </si>
  <si>
    <t>First month of new program year</t>
  </si>
  <si>
    <t>O</t>
  </si>
  <si>
    <t>Starting date for the State's current Program Year</t>
  </si>
  <si>
    <t>P</t>
  </si>
  <si>
    <t>latest month's expenditure (Hidden)</t>
  </si>
  <si>
    <t>Q</t>
  </si>
  <si>
    <t>Column B minus Column C
Calculated from LOCCS data (all grants less all expenditures)</t>
  </si>
  <si>
    <t>Column D divided by Column F
Indicates # of years of funds available in terms of latest grant amt.</t>
  </si>
  <si>
    <t>Column E divided by Column F
This draw-down rate should be 1 or more to avoid increasing balances.</t>
  </si>
  <si>
    <t>Column E divided by 12
Indicates average dollar amount spent each of the last 12 months.</t>
  </si>
  <si>
    <t xml:space="preserve">Column D minus (Column I times Column J)
Expected balance at 60 days before end of Program Year if expenditures continue at previous 12-month rate. </t>
  </si>
  <si>
    <t>Column C minus prior month's Column C
Calculated from LOCCS data (all expenditures less all expenditures thru prior month)</t>
  </si>
  <si>
    <t>12 month Avg Expend Ratio</t>
  </si>
  <si>
    <t>Rank by avg Unspent ratio (ascend)</t>
  </si>
  <si>
    <t>Rank by avg expend ratio (descend)</t>
  </si>
  <si>
    <t>-----------------</t>
  </si>
  <si>
    <t>Most Recent Grant Appeared in LOCCS</t>
  </si>
  <si>
    <t>Returns the Month when the "most recent grant amount" changed, if change occurred prior to 18 months ago, cell returns note.</t>
  </si>
  <si>
    <t>------------</t>
  </si>
  <si>
    <t>Ratio Unex</t>
  </si>
  <si>
    <t>-----</t>
  </si>
  <si>
    <t>d Last</t>
  </si>
  <si>
    <t>Grant</t>
  </si>
  <si>
    <t>-------</t>
  </si>
  <si>
    <t>ded Last</t>
  </si>
  <si>
    <t>o Grant</t>
  </si>
  <si>
    <t>*</t>
  </si>
  <si>
    <t xml:space="preserve"> </t>
  </si>
  <si>
    <t>pend  Ratio Expen</t>
  </si>
  <si>
    <t>ant   12 Months t</t>
  </si>
  <si>
    <t>A67CAAA</t>
  </si>
  <si>
    <t>U.S. Depart</t>
  </si>
  <si>
    <t>ment of Housing and</t>
  </si>
  <si>
    <t>Urban Development</t>
  </si>
  <si>
    <t>Page:   52</t>
  </si>
  <si>
    <t>Run Date: 09/30/2024                                            As of: 09/30/2024</t>
  </si>
  <si>
    <t>09/30/2024</t>
  </si>
  <si>
    <t>Run Date: 10/31/2024                                            As of: 10/31/2024</t>
  </si>
  <si>
    <t>10/31/2024</t>
  </si>
  <si>
    <t>Run Date: 11/29/2024                                            As of: 11/30/2024</t>
  </si>
  <si>
    <t>11/30/2024</t>
  </si>
  <si>
    <t>Run Date: 12/31/2024                                            As of: 12/31/2024</t>
  </si>
  <si>
    <t>12/31/2024</t>
  </si>
  <si>
    <t>Run Date: 01/31/2025                                            As of: 01/31/2025</t>
  </si>
  <si>
    <t>01/31/2025</t>
  </si>
  <si>
    <t>Run Date: 02/28/2025                                            As of: 02/28/2025</t>
  </si>
  <si>
    <t>02/28/2025</t>
  </si>
  <si>
    <t>FY 2024 Grants</t>
  </si>
  <si>
    <t>Run Date: 03/31/2025                                            As of: 03/31/2025</t>
  </si>
  <si>
    <t>03/31/2025</t>
  </si>
  <si>
    <t>Run Date: 05/30/2025                                            As of: 05/31/2025</t>
  </si>
  <si>
    <t>05/31/2025</t>
  </si>
  <si>
    <t>Run Date: 06/30/2025                                            As of: 06/30/2025</t>
  </si>
  <si>
    <t>06/30/2025</t>
  </si>
  <si>
    <t>Run Date: 07/31/2025                                            As of: 07/31/2025</t>
  </si>
  <si>
    <t>07/31/2025</t>
  </si>
  <si>
    <t>Run Date: 08/29/2025                                            As of: 08/31/2025</t>
  </si>
  <si>
    <t>08/31/2025</t>
  </si>
  <si>
    <t>Run Date: 09/30/2025                                            As of: 09/30/2025</t>
  </si>
  <si>
    <t>09/30/2025</t>
  </si>
  <si>
    <t>Run Date: 10/31/2025                                            As of: 10/31/2025</t>
  </si>
  <si>
    <t>10/31/2025</t>
  </si>
  <si>
    <t>Run Date: 11/28/2025                                            As of: 11/30/2025</t>
  </si>
  <si>
    <t>11/30/2025</t>
  </si>
  <si>
    <t>Run Date: 12/31/2025                                            As of: 12/31/2025</t>
  </si>
  <si>
    <t>12/31/2025</t>
  </si>
  <si>
    <t>Run Date: 01/30/2026                                            As of: 01/31/2026</t>
  </si>
  <si>
    <t>01/31/2026</t>
  </si>
  <si>
    <t>FY 2025 Grants</t>
  </si>
  <si>
    <t>Run Date: 02/27/2026                                            As of: 02/28/2026</t>
  </si>
  <si>
    <t>02/28/2026</t>
  </si>
  <si>
    <t>Run Date: 03/31/2026                                            As of: 03/31/2026</t>
  </si>
  <si>
    <t>03/31/2026</t>
  </si>
  <si>
    <t>Run Date: 04/30/2026                                            As of: 04/30/2026</t>
  </si>
  <si>
    <t>04/30/2026</t>
  </si>
  <si>
    <t>Run Date: 05/29/2026                                            As of: 05/31/2026</t>
  </si>
  <si>
    <t>05/31/2026</t>
  </si>
  <si>
    <t>Run Date: 06/30/2026                                            As of: 06/30/2026</t>
  </si>
  <si>
    <t>06/30/2026</t>
  </si>
  <si>
    <t>Run Date: 07/31/2026                                            As of: 07/31/2026</t>
  </si>
  <si>
    <t>07/31/2026</t>
  </si>
  <si>
    <t>Run Date: 08/31/2026                                            As of: 08/31/2026</t>
  </si>
  <si>
    <t>08/31/2026</t>
  </si>
  <si>
    <t>Run Date:  09/30/</t>
  </si>
  <si>
    <t>As of:  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</si>
</sst>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7" formatCode="mm/dd/yy"/>
    <numFmt numFmtId="169" formatCode="m/d/yy"/>
    <numFmt numFmtId="171" formatCode="&quot;$&quot;#,##0"/>
    <numFmt numFmtId="173" formatCode="&quot;$&quot;#,##0.00"/>
    <numFmt numFmtId="175" formatCode="mmm\'yy"/>
    <numFmt numFmtId="183" formatCode="m/d/yy;@"/>
    <numFmt numFmtId="185" formatCode="mmm"/>
  </numFmts>
  <fonts count="55" x14ac:knownFonts="1">
    <font>
      <sz val="10"/>
      <name val="Arial"/>
    </font>
    <font>
      <sz val="7"/>
      <name val="Arial"/>
      <family val="2"/>
    </font>
    <font>
      <b/>
      <sz val="7"/>
      <name val="Arial"/>
      <family val="2"/>
    </font>
    <font>
      <u/>
      <sz val="7"/>
      <name val="Arial"/>
      <family val="2"/>
    </font>
    <font>
      <sz val="9"/>
      <name val="Arial"/>
      <family val="2"/>
    </font>
    <font>
      <b/>
      <sz val="10"/>
      <name val="Arial"/>
      <family val="2"/>
    </font>
    <font>
      <sz val="10"/>
      <name val="Arial"/>
      <family val="2"/>
    </font>
    <font>
      <sz val="8"/>
      <name val="Arial"/>
      <family val="2"/>
    </font>
    <font>
      <sz val="8"/>
      <color indexed="81"/>
      <name val="Tahoma"/>
      <family val="2"/>
    </font>
    <font>
      <b/>
      <sz val="8"/>
      <color indexed="81"/>
      <name val="Tahoma"/>
      <family val="2"/>
    </font>
    <font>
      <sz val="8"/>
      <color indexed="81"/>
      <name val="Tahoma"/>
      <family val="2"/>
    </font>
    <font>
      <sz val="10"/>
      <name val="Calibri"/>
      <family val="2"/>
    </font>
    <font>
      <sz val="8"/>
      <name val="Calibri"/>
      <family val="2"/>
    </font>
    <font>
      <b/>
      <i/>
      <sz val="10"/>
      <color indexed="57"/>
      <name val="Arial"/>
      <family val="2"/>
    </font>
    <font>
      <b/>
      <i/>
      <sz val="9"/>
      <name val="Times New Roman"/>
      <family val="1"/>
    </font>
    <font>
      <b/>
      <sz val="9"/>
      <name val="Times New Roman"/>
      <family val="1"/>
    </font>
    <font>
      <sz val="10"/>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9C57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u/>
      <sz val="11"/>
      <color theme="1"/>
      <name val="Calibri"/>
      <family val="2"/>
      <scheme val="minor"/>
    </font>
    <font>
      <sz val="10"/>
      <name val="Calibri"/>
      <family val="2"/>
      <scheme val="minor"/>
    </font>
    <font>
      <sz val="11"/>
      <name val="Calibri"/>
      <family val="2"/>
      <scheme val="minor"/>
    </font>
    <font>
      <sz val="8"/>
      <name val="Calibri"/>
      <family val="2"/>
      <scheme val="minor"/>
    </font>
    <font>
      <b/>
      <sz val="10"/>
      <name val="Calibri"/>
      <family val="2"/>
      <scheme val="minor"/>
    </font>
    <font>
      <sz val="9"/>
      <name val="Calibri"/>
      <family val="2"/>
      <scheme val="minor"/>
    </font>
    <font>
      <b/>
      <sz val="9"/>
      <name val="Calibri"/>
      <family val="2"/>
      <scheme val="minor"/>
    </font>
    <font>
      <b/>
      <u/>
      <sz val="9"/>
      <name val="Calibri"/>
      <family val="2"/>
      <scheme val="minor"/>
    </font>
    <font>
      <sz val="11"/>
      <color indexed="24"/>
      <name val="Calibri"/>
      <family val="2"/>
      <scheme val="minor"/>
    </font>
    <font>
      <b/>
      <u/>
      <sz val="11"/>
      <name val="Calibri"/>
      <family val="2"/>
      <scheme val="minor"/>
    </font>
    <font>
      <b/>
      <sz val="11"/>
      <name val="Calibri"/>
      <family val="2"/>
      <scheme val="minor"/>
    </font>
    <font>
      <b/>
      <u/>
      <sz val="10"/>
      <name val="Calibri"/>
      <family val="2"/>
      <scheme val="minor"/>
    </font>
    <font>
      <b/>
      <u/>
      <sz val="12"/>
      <name val="Calibri"/>
      <family val="2"/>
      <scheme val="minor"/>
    </font>
    <font>
      <b/>
      <sz val="16"/>
      <color theme="1"/>
      <name val="Calibri"/>
      <family val="2"/>
      <scheme val="minor"/>
    </font>
    <font>
      <sz val="10"/>
      <color theme="0"/>
      <name val="Calibri"/>
      <family val="2"/>
      <scheme val="minor"/>
    </font>
    <font>
      <b/>
      <sz val="10"/>
      <color theme="0"/>
      <name val="Calibri"/>
      <family val="2"/>
      <scheme val="minor"/>
    </font>
    <font>
      <i/>
      <sz val="11"/>
      <color theme="1"/>
      <name val="Calibri"/>
      <family val="2"/>
      <scheme val="minor"/>
    </font>
    <font>
      <b/>
      <sz val="14"/>
      <color theme="1"/>
      <name val="Calibri"/>
      <family val="2"/>
      <scheme val="minor"/>
    </font>
    <font>
      <b/>
      <sz val="12"/>
      <name val="Calibri"/>
      <family val="2"/>
      <scheme val="minor"/>
    </font>
  </fonts>
  <fills count="36">
    <fill>
      <patternFill patternType="none"/>
    </fill>
    <fill>
      <patternFill patternType="gray125"/>
    </fill>
    <fill>
      <patternFill patternType="solid">
        <fgColor indexed="4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4659260841701"/>
        <bgColor indexed="64"/>
      </patternFill>
    </fill>
    <fill>
      <patternFill patternType="solid">
        <fgColor theme="7" tint="0.79998168889431442"/>
        <bgColor indexed="64"/>
      </patternFill>
    </fill>
  </fills>
  <borders count="57">
    <border>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diagonal/>
    </border>
    <border>
      <left style="thin">
        <color indexed="64"/>
      </left>
      <right/>
      <top style="thin">
        <color indexed="64"/>
      </top>
      <bottom style="double">
        <color indexed="64"/>
      </bottom>
      <diagonal/>
    </border>
    <border>
      <left/>
      <right style="double">
        <color indexed="64"/>
      </right>
      <top/>
      <bottom style="double">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92">
    <xf numFmtId="0" fontId="0" fillId="0" borderId="0"/>
    <xf numFmtId="0" fontId="17" fillId="3"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7"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7" fillId="16"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7"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7" fillId="18"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7"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7"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20" fillId="28" borderId="48" applyNumberFormat="0" applyAlignment="0" applyProtection="0"/>
    <xf numFmtId="0" fontId="20" fillId="28" borderId="48" applyNumberFormat="0" applyAlignment="0" applyProtection="0"/>
    <xf numFmtId="0" fontId="21" fillId="29" borderId="49" applyNumberFormat="0" applyAlignment="0" applyProtection="0"/>
    <xf numFmtId="0" fontId="21" fillId="29" borderId="49" applyNumberFormat="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4" fillId="0" borderId="50" applyNumberFormat="0" applyFill="0" applyAlignment="0" applyProtection="0"/>
    <xf numFmtId="0" fontId="24" fillId="0" borderId="50" applyNumberFormat="0" applyFill="0" applyAlignment="0" applyProtection="0"/>
    <xf numFmtId="0" fontId="25" fillId="0" borderId="51" applyNumberFormat="0" applyFill="0" applyAlignment="0" applyProtection="0"/>
    <xf numFmtId="0" fontId="25" fillId="0" borderId="51" applyNumberFormat="0" applyFill="0" applyAlignment="0" applyProtection="0"/>
    <xf numFmtId="0" fontId="26" fillId="0" borderId="52" applyNumberFormat="0" applyFill="0" applyAlignment="0" applyProtection="0"/>
    <xf numFmtId="0" fontId="26" fillId="0" borderId="52"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31" borderId="48" applyNumberFormat="0" applyAlignment="0" applyProtection="0"/>
    <xf numFmtId="0" fontId="27" fillId="31" borderId="48" applyNumberFormat="0" applyAlignment="0" applyProtection="0"/>
    <xf numFmtId="0" fontId="28" fillId="0" borderId="53" applyNumberFormat="0" applyFill="0" applyAlignment="0" applyProtection="0"/>
    <xf numFmtId="0" fontId="28" fillId="0" borderId="53" applyNumberFormat="0" applyFill="0" applyAlignment="0" applyProtection="0"/>
    <xf numFmtId="0" fontId="29" fillId="32" borderId="0" applyNumberFormat="0" applyBorder="0" applyAlignment="0" applyProtection="0"/>
    <xf numFmtId="0" fontId="29" fillId="32" borderId="0" applyNumberFormat="0" applyBorder="0" applyAlignment="0" applyProtection="0"/>
    <xf numFmtId="0" fontId="30" fillId="32" borderId="0" applyNumberFormat="0" applyBorder="0" applyAlignment="0" applyProtection="0"/>
    <xf numFmtId="0" fontId="6" fillId="0" borderId="0"/>
    <xf numFmtId="0" fontId="17" fillId="0" borderId="0"/>
    <xf numFmtId="0" fontId="17" fillId="33" borderId="54" applyNumberFormat="0" applyFont="0" applyAlignment="0" applyProtection="0"/>
    <xf numFmtId="0" fontId="17" fillId="33" borderId="54" applyNumberFormat="0" applyFont="0" applyAlignment="0" applyProtection="0"/>
    <xf numFmtId="0" fontId="31" fillId="28" borderId="55" applyNumberFormat="0" applyAlignment="0" applyProtection="0"/>
    <xf numFmtId="0" fontId="31" fillId="28" borderId="55"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56" applyNumberFormat="0" applyFill="0" applyAlignment="0" applyProtection="0"/>
    <xf numFmtId="0" fontId="34" fillId="0" borderId="56"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cellStyleXfs>
  <cellXfs count="274">
    <xf numFmtId="0" fontId="0" fillId="0" borderId="0" xfId="0"/>
    <xf numFmtId="2" fontId="7" fillId="0" borderId="0" xfId="0" applyNumberFormat="1" applyFont="1" applyBorder="1"/>
    <xf numFmtId="2" fontId="7" fillId="0" borderId="1" xfId="0" applyNumberFormat="1" applyFont="1" applyBorder="1"/>
    <xf numFmtId="2" fontId="7" fillId="0" borderId="2" xfId="0" applyNumberFormat="1" applyFont="1" applyBorder="1"/>
    <xf numFmtId="0" fontId="1" fillId="0" borderId="3" xfId="80" applyFont="1" applyFill="1" applyBorder="1" applyAlignment="1">
      <alignment horizontal="left" vertical="center" wrapText="1"/>
    </xf>
    <xf numFmtId="3" fontId="6" fillId="0" borderId="0" xfId="80" applyNumberFormat="1" applyAlignment="1">
      <alignment vertical="center" wrapText="1"/>
    </xf>
    <xf numFmtId="0" fontId="6" fillId="0" borderId="0" xfId="80" applyAlignment="1">
      <alignment horizontal="right" vertical="center" wrapText="1"/>
    </xf>
    <xf numFmtId="0" fontId="6" fillId="0" borderId="0" xfId="80" applyAlignment="1">
      <alignment vertical="center" wrapText="1"/>
    </xf>
    <xf numFmtId="0" fontId="6" fillId="0" borderId="0" xfId="80" applyAlignment="1">
      <alignment wrapText="1"/>
    </xf>
    <xf numFmtId="0" fontId="1" fillId="0" borderId="4" xfId="80" applyFont="1" applyFill="1" applyBorder="1" applyAlignment="1">
      <alignment horizontal="left" vertical="center" wrapText="1"/>
    </xf>
    <xf numFmtId="3" fontId="1" fillId="0" borderId="4" xfId="80" applyNumberFormat="1" applyFont="1" applyFill="1" applyBorder="1" applyAlignment="1">
      <alignment horizontal="center" vertical="center" wrapText="1"/>
    </xf>
    <xf numFmtId="0" fontId="1" fillId="0" borderId="4" xfId="80" applyFont="1" applyFill="1" applyBorder="1" applyAlignment="1">
      <alignment horizontal="center" vertical="center" wrapText="1"/>
    </xf>
    <xf numFmtId="0" fontId="1" fillId="0" borderId="5" xfId="80" applyFont="1" applyFill="1" applyBorder="1" applyAlignment="1">
      <alignment horizontal="left" vertical="center" wrapText="1"/>
    </xf>
    <xf numFmtId="3" fontId="1" fillId="0" borderId="5" xfId="80" applyNumberFormat="1" applyFont="1" applyFill="1" applyBorder="1" applyAlignment="1">
      <alignment horizontal="right" vertical="center"/>
    </xf>
    <xf numFmtId="2" fontId="1" fillId="0" borderId="5" xfId="80" applyNumberFormat="1" applyFont="1" applyFill="1" applyBorder="1" applyAlignment="1">
      <alignment horizontal="right" vertical="center"/>
    </xf>
    <xf numFmtId="0" fontId="1" fillId="0" borderId="5" xfId="80" applyFont="1" applyFill="1" applyBorder="1" applyAlignment="1">
      <alignment horizontal="center" wrapText="1"/>
    </xf>
    <xf numFmtId="169" fontId="1" fillId="0" borderId="5" xfId="80" applyNumberFormat="1" applyFont="1" applyFill="1" applyBorder="1" applyAlignment="1">
      <alignment horizontal="right" vertical="center"/>
    </xf>
    <xf numFmtId="0" fontId="6" fillId="0" borderId="0" xfId="80" applyAlignment="1">
      <alignment vertical="center"/>
    </xf>
    <xf numFmtId="3" fontId="1" fillId="0" borderId="6" xfId="80" applyNumberFormat="1" applyFont="1" applyFill="1" applyBorder="1" applyAlignment="1">
      <alignment horizontal="right" vertical="center"/>
    </xf>
    <xf numFmtId="0" fontId="2" fillId="0" borderId="0" xfId="80" applyFont="1" applyFill="1" applyBorder="1" applyAlignment="1">
      <alignment horizontal="right" vertical="center" wrapText="1"/>
    </xf>
    <xf numFmtId="3" fontId="3" fillId="0" borderId="0" xfId="80" applyNumberFormat="1" applyFont="1" applyFill="1" applyBorder="1" applyAlignment="1">
      <alignment horizontal="right" vertical="center"/>
    </xf>
    <xf numFmtId="2" fontId="1" fillId="0" borderId="0" xfId="80" applyNumberFormat="1" applyFont="1" applyAlignment="1">
      <alignment horizontal="right" vertical="center"/>
    </xf>
    <xf numFmtId="3" fontId="1" fillId="0" borderId="0" xfId="80" applyNumberFormat="1" applyFont="1" applyAlignment="1">
      <alignment vertical="center"/>
    </xf>
    <xf numFmtId="3" fontId="6" fillId="0" borderId="0" xfId="80" applyNumberFormat="1" applyAlignment="1">
      <alignment vertical="center"/>
    </xf>
    <xf numFmtId="0" fontId="6" fillId="0" borderId="7" xfId="80" applyBorder="1" applyAlignment="1">
      <alignment horizontal="right"/>
    </xf>
    <xf numFmtId="0" fontId="6" fillId="0" borderId="8" xfId="80" applyBorder="1" applyAlignment="1">
      <alignment horizontal="right"/>
    </xf>
    <xf numFmtId="0" fontId="6" fillId="0" borderId="0" xfId="80" applyAlignment="1">
      <alignment horizontal="right" vertical="center"/>
    </xf>
    <xf numFmtId="0" fontId="6" fillId="0" borderId="9" xfId="80" applyBorder="1" applyAlignment="1">
      <alignment horizontal="right"/>
    </xf>
    <xf numFmtId="0" fontId="6" fillId="0" borderId="10" xfId="80" applyBorder="1" applyAlignment="1">
      <alignment horizontal="right"/>
    </xf>
    <xf numFmtId="0" fontId="17" fillId="6" borderId="0" xfId="7"/>
    <xf numFmtId="2" fontId="1" fillId="0" borderId="0" xfId="80" applyNumberFormat="1" applyFont="1" applyFill="1" applyBorder="1" applyAlignment="1">
      <alignment horizontal="right" vertical="center"/>
    </xf>
    <xf numFmtId="3" fontId="6" fillId="0" borderId="0" xfId="80" applyNumberFormat="1" applyFill="1" applyBorder="1" applyAlignment="1"/>
    <xf numFmtId="3" fontId="6" fillId="0" borderId="0" xfId="80" applyNumberFormat="1" applyFill="1" applyBorder="1" applyAlignment="1">
      <alignment vertical="center"/>
    </xf>
    <xf numFmtId="3" fontId="1" fillId="0" borderId="11" xfId="80" applyNumberFormat="1" applyFont="1" applyFill="1" applyBorder="1" applyAlignment="1">
      <alignment horizontal="right" vertical="center"/>
    </xf>
    <xf numFmtId="3" fontId="6" fillId="0" borderId="11" xfId="80" applyNumberFormat="1" applyFill="1" applyBorder="1" applyAlignment="1"/>
    <xf numFmtId="3" fontId="6" fillId="0" borderId="11" xfId="80" applyNumberFormat="1" applyFill="1" applyBorder="1" applyAlignment="1">
      <alignment vertical="center"/>
    </xf>
    <xf numFmtId="0" fontId="2" fillId="0" borderId="2" xfId="80" applyFont="1" applyFill="1" applyBorder="1" applyAlignment="1">
      <alignment horizontal="right" vertical="center" wrapText="1"/>
    </xf>
    <xf numFmtId="0" fontId="17" fillId="6" borderId="0" xfId="7" applyAlignment="1">
      <alignment horizontal="right"/>
    </xf>
    <xf numFmtId="0" fontId="17" fillId="6" borderId="12" xfId="7" applyBorder="1"/>
    <xf numFmtId="0" fontId="17" fillId="6" borderId="0" xfId="7" applyBorder="1"/>
    <xf numFmtId="0" fontId="17" fillId="6" borderId="0" xfId="7" applyAlignment="1">
      <alignment horizontal="center"/>
    </xf>
    <xf numFmtId="2" fontId="7" fillId="0" borderId="13" xfId="0" applyNumberFormat="1" applyFont="1" applyBorder="1"/>
    <xf numFmtId="2" fontId="7" fillId="0" borderId="11" xfId="0" applyNumberFormat="1" applyFont="1" applyBorder="1"/>
    <xf numFmtId="2" fontId="7" fillId="0" borderId="14" xfId="0" applyNumberFormat="1" applyFont="1" applyBorder="1"/>
    <xf numFmtId="175" fontId="17" fillId="6" borderId="0" xfId="7" applyNumberFormat="1" applyAlignment="1">
      <alignment horizontal="center"/>
    </xf>
    <xf numFmtId="1" fontId="17" fillId="6" borderId="0" xfId="7" applyNumberFormat="1" applyAlignment="1">
      <alignment horizontal="center"/>
    </xf>
    <xf numFmtId="0" fontId="36" fillId="6" borderId="0" xfId="7" applyFont="1" applyBorder="1" applyAlignment="1">
      <alignment horizontal="right"/>
    </xf>
    <xf numFmtId="0" fontId="17" fillId="6" borderId="0" xfId="7" applyNumberFormat="1" applyAlignment="1">
      <alignment horizontal="center"/>
    </xf>
    <xf numFmtId="0" fontId="37" fillId="0" borderId="0" xfId="0" applyFont="1"/>
    <xf numFmtId="0" fontId="37" fillId="0" borderId="0" xfId="0" applyFont="1" applyBorder="1"/>
    <xf numFmtId="2" fontId="38" fillId="0" borderId="2" xfId="0" applyNumberFormat="1" applyFont="1" applyBorder="1" applyAlignment="1">
      <alignment vertical="top"/>
    </xf>
    <xf numFmtId="2" fontId="38" fillId="0" borderId="1" xfId="0" applyNumberFormat="1" applyFont="1" applyBorder="1" applyAlignment="1">
      <alignment vertical="top"/>
    </xf>
    <xf numFmtId="2" fontId="38" fillId="0" borderId="0" xfId="0" applyNumberFormat="1" applyFont="1" applyBorder="1" applyAlignment="1">
      <alignment vertical="top" wrapText="1"/>
    </xf>
    <xf numFmtId="2" fontId="38" fillId="0" borderId="0" xfId="0" applyNumberFormat="1" applyFont="1" applyBorder="1" applyAlignment="1">
      <alignment vertical="top"/>
    </xf>
    <xf numFmtId="0" fontId="37" fillId="0" borderId="0" xfId="0" applyFont="1" applyAlignment="1">
      <alignment vertical="top"/>
    </xf>
    <xf numFmtId="2" fontId="39" fillId="0" borderId="13" xfId="0" applyNumberFormat="1" applyFont="1" applyBorder="1"/>
    <xf numFmtId="2" fontId="39" fillId="0" borderId="11" xfId="0" applyNumberFormat="1" applyFont="1" applyBorder="1"/>
    <xf numFmtId="2" fontId="39" fillId="0" borderId="14" xfId="0" applyNumberFormat="1" applyFont="1" applyBorder="1"/>
    <xf numFmtId="2" fontId="39" fillId="0" borderId="2" xfId="0" applyNumberFormat="1" applyFont="1" applyBorder="1"/>
    <xf numFmtId="2" fontId="37" fillId="0" borderId="0" xfId="0" applyNumberFormat="1" applyFont="1"/>
    <xf numFmtId="2" fontId="39" fillId="0" borderId="0" xfId="0" applyNumberFormat="1" applyFont="1" applyBorder="1"/>
    <xf numFmtId="2" fontId="39" fillId="0" borderId="1" xfId="0" applyNumberFormat="1" applyFont="1" applyBorder="1"/>
    <xf numFmtId="0" fontId="40" fillId="0" borderId="0" xfId="0" applyFont="1" applyBorder="1" applyAlignment="1">
      <alignment horizontal="right"/>
    </xf>
    <xf numFmtId="173" fontId="39" fillId="0" borderId="0" xfId="0" applyNumberFormat="1" applyFont="1" applyBorder="1"/>
    <xf numFmtId="0" fontId="37" fillId="0" borderId="0" xfId="0" applyFont="1" applyBorder="1" applyAlignment="1">
      <alignment horizontal="center"/>
    </xf>
    <xf numFmtId="0" fontId="37" fillId="0" borderId="13" xfId="0" applyFont="1" applyBorder="1"/>
    <xf numFmtId="0" fontId="37" fillId="0" borderId="11" xfId="0" applyFont="1" applyBorder="1" applyAlignment="1">
      <alignment horizontal="center"/>
    </xf>
    <xf numFmtId="0" fontId="37" fillId="0" borderId="2" xfId="0" applyFont="1" applyBorder="1"/>
    <xf numFmtId="0" fontId="37" fillId="0" borderId="15" xfId="0" applyFont="1" applyBorder="1"/>
    <xf numFmtId="0" fontId="37" fillId="0" borderId="12" xfId="0" applyFont="1" applyBorder="1" applyAlignment="1">
      <alignment horizontal="center"/>
    </xf>
    <xf numFmtId="2" fontId="39" fillId="0" borderId="12" xfId="0" applyNumberFormat="1" applyFont="1" applyBorder="1"/>
    <xf numFmtId="2" fontId="39" fillId="0" borderId="16" xfId="0" applyNumberFormat="1" applyFont="1" applyBorder="1"/>
    <xf numFmtId="2" fontId="38" fillId="0" borderId="1" xfId="0" applyNumberFormat="1" applyFont="1" applyBorder="1" applyAlignment="1">
      <alignment vertical="top" wrapText="1"/>
    </xf>
    <xf numFmtId="2" fontId="39" fillId="0" borderId="15" xfId="0" applyNumberFormat="1" applyFont="1" applyBorder="1"/>
    <xf numFmtId="0" fontId="37" fillId="0" borderId="0" xfId="0" applyFont="1" applyBorder="1" applyAlignment="1">
      <alignment horizontal="right"/>
    </xf>
    <xf numFmtId="2" fontId="38" fillId="0" borderId="12" xfId="0" applyNumberFormat="1" applyFont="1" applyBorder="1" applyAlignment="1">
      <alignment vertical="top"/>
    </xf>
    <xf numFmtId="0" fontId="37" fillId="0" borderId="12" xfId="0" applyFont="1" applyBorder="1"/>
    <xf numFmtId="0" fontId="37" fillId="0" borderId="12" xfId="0" applyFont="1" applyBorder="1" applyAlignment="1"/>
    <xf numFmtId="2" fontId="37" fillId="0" borderId="0" xfId="0" applyNumberFormat="1" applyFont="1" applyAlignment="1">
      <alignment horizontal="center"/>
    </xf>
    <xf numFmtId="0" fontId="37" fillId="0" borderId="11" xfId="0" applyFont="1" applyBorder="1" applyAlignment="1">
      <alignment horizontal="centerContinuous"/>
    </xf>
    <xf numFmtId="0" fontId="37" fillId="0" borderId="17" xfId="0" applyFont="1" applyBorder="1" applyAlignment="1">
      <alignment horizontal="center"/>
    </xf>
    <xf numFmtId="0" fontId="38" fillId="0" borderId="2" xfId="0" applyFont="1" applyBorder="1" applyAlignment="1">
      <alignment vertical="top"/>
    </xf>
    <xf numFmtId="0" fontId="37" fillId="0" borderId="0" xfId="0" applyFont="1" applyBorder="1" applyAlignment="1">
      <alignment vertical="top" wrapText="1"/>
    </xf>
    <xf numFmtId="0" fontId="38" fillId="0" borderId="0" xfId="0" applyFont="1" applyBorder="1" applyAlignment="1">
      <alignment vertical="top"/>
    </xf>
    <xf numFmtId="0" fontId="37" fillId="0" borderId="1" xfId="0" applyFont="1" applyBorder="1" applyAlignment="1">
      <alignment horizontal="center"/>
    </xf>
    <xf numFmtId="0" fontId="40" fillId="0" borderId="11" xfId="0" applyFont="1" applyBorder="1" applyAlignment="1">
      <alignment horizontal="right"/>
    </xf>
    <xf numFmtId="0" fontId="37" fillId="0" borderId="15" xfId="0" applyFont="1" applyBorder="1" applyAlignment="1">
      <alignment horizontal="right"/>
    </xf>
    <xf numFmtId="0" fontId="40" fillId="0" borderId="12" xfId="0" applyFont="1" applyBorder="1" applyAlignment="1">
      <alignment horizontal="right"/>
    </xf>
    <xf numFmtId="173" fontId="39" fillId="0" borderId="12" xfId="0" applyNumberFormat="1" applyFont="1" applyBorder="1"/>
    <xf numFmtId="0" fontId="37" fillId="0" borderId="13" xfId="0" applyFont="1" applyBorder="1" applyAlignment="1">
      <alignment horizontal="right"/>
    </xf>
    <xf numFmtId="0" fontId="37" fillId="0" borderId="2" xfId="0" applyFont="1" applyBorder="1" applyAlignment="1">
      <alignment horizontal="right"/>
    </xf>
    <xf numFmtId="2" fontId="38" fillId="0" borderId="18" xfId="0" applyNumberFormat="1" applyFont="1" applyBorder="1" applyAlignment="1">
      <alignment vertical="top" wrapText="1"/>
    </xf>
    <xf numFmtId="173" fontId="39" fillId="0" borderId="15" xfId="0" applyNumberFormat="1" applyFont="1" applyBorder="1"/>
    <xf numFmtId="0" fontId="37" fillId="0" borderId="19" xfId="0" applyFont="1" applyFill="1" applyBorder="1" applyAlignment="1">
      <alignment horizontal="center"/>
    </xf>
    <xf numFmtId="2" fontId="37" fillId="0" borderId="6" xfId="0" applyNumberFormat="1" applyFont="1" applyBorder="1" applyAlignment="1">
      <alignment horizontal="center"/>
    </xf>
    <xf numFmtId="2" fontId="37" fillId="0" borderId="5" xfId="0" applyNumberFormat="1" applyFont="1" applyBorder="1" applyAlignment="1">
      <alignment horizontal="center"/>
    </xf>
    <xf numFmtId="0" fontId="37" fillId="0" borderId="0" xfId="0" applyFont="1" applyBorder="1" applyAlignment="1"/>
    <xf numFmtId="0" fontId="41" fillId="0" borderId="0" xfId="0" applyFont="1"/>
    <xf numFmtId="0" fontId="41" fillId="0" borderId="0" xfId="0" applyFont="1" applyBorder="1" applyAlignment="1"/>
    <xf numFmtId="1" fontId="41" fillId="0" borderId="0" xfId="0" applyNumberFormat="1" applyFont="1" applyBorder="1" applyAlignment="1">
      <alignment horizontal="center"/>
    </xf>
    <xf numFmtId="2" fontId="38" fillId="0" borderId="0" xfId="0" applyNumberFormat="1" applyFont="1" applyBorder="1"/>
    <xf numFmtId="0" fontId="38" fillId="0" borderId="0" xfId="0" applyFont="1"/>
    <xf numFmtId="0" fontId="37" fillId="0" borderId="11" xfId="0" applyFont="1" applyBorder="1"/>
    <xf numFmtId="0" fontId="37" fillId="0" borderId="14" xfId="0" applyFont="1" applyBorder="1"/>
    <xf numFmtId="2" fontId="7" fillId="0" borderId="15" xfId="0" applyNumberFormat="1" applyFont="1" applyBorder="1"/>
    <xf numFmtId="2" fontId="7" fillId="0" borderId="12" xfId="0" applyNumberFormat="1" applyFont="1" applyBorder="1"/>
    <xf numFmtId="2" fontId="7" fillId="0" borderId="16" xfId="0" applyNumberFormat="1" applyFont="1" applyBorder="1"/>
    <xf numFmtId="173" fontId="39" fillId="0" borderId="2" xfId="0" applyNumberFormat="1" applyFont="1" applyBorder="1"/>
    <xf numFmtId="173" fontId="39" fillId="0" borderId="1" xfId="0" applyNumberFormat="1" applyFont="1" applyBorder="1"/>
    <xf numFmtId="0" fontId="37" fillId="0" borderId="16" xfId="0" applyFont="1" applyBorder="1"/>
    <xf numFmtId="2" fontId="7" fillId="0" borderId="19" xfId="0" applyNumberFormat="1" applyFont="1" applyBorder="1"/>
    <xf numFmtId="0" fontId="37" fillId="0" borderId="6" xfId="0" applyFont="1" applyBorder="1"/>
    <xf numFmtId="0" fontId="37" fillId="0" borderId="5" xfId="0" applyFont="1" applyBorder="1"/>
    <xf numFmtId="0" fontId="37" fillId="0" borderId="19" xfId="0" applyFont="1" applyBorder="1"/>
    <xf numFmtId="0" fontId="39" fillId="0" borderId="6" xfId="0" applyFont="1" applyBorder="1" applyAlignment="1">
      <alignment horizontal="center" vertical="top" wrapText="1"/>
    </xf>
    <xf numFmtId="0" fontId="37" fillId="0" borderId="6" xfId="0" applyFont="1" applyBorder="1" applyAlignment="1">
      <alignment horizontal="center"/>
    </xf>
    <xf numFmtId="0" fontId="39" fillId="0" borderId="5" xfId="0" applyFont="1" applyBorder="1" applyAlignment="1">
      <alignment horizontal="center" vertical="top" wrapText="1"/>
    </xf>
    <xf numFmtId="2" fontId="38" fillId="0" borderId="0" xfId="0" applyNumberFormat="1" applyFont="1" applyBorder="1" applyAlignment="1">
      <alignment horizontal="center"/>
    </xf>
    <xf numFmtId="2" fontId="41" fillId="0" borderId="0" xfId="0" applyNumberFormat="1" applyFont="1" applyBorder="1" applyAlignment="1">
      <alignment horizontal="center"/>
    </xf>
    <xf numFmtId="169" fontId="41" fillId="0" borderId="0" xfId="0" applyNumberFormat="1" applyFont="1" applyBorder="1" applyAlignment="1">
      <alignment horizontal="center"/>
    </xf>
    <xf numFmtId="0" fontId="38" fillId="0" borderId="0" xfId="0" applyFont="1" applyBorder="1"/>
    <xf numFmtId="169" fontId="38" fillId="0" borderId="0" xfId="0" applyNumberFormat="1" applyFont="1" applyBorder="1" applyAlignment="1">
      <alignment horizontal="center"/>
    </xf>
    <xf numFmtId="0" fontId="41" fillId="0" borderId="0" xfId="0" applyFont="1" applyBorder="1"/>
    <xf numFmtId="0" fontId="41" fillId="0" borderId="0" xfId="0" applyFont="1" applyFill="1" applyBorder="1" applyAlignment="1">
      <alignment horizontal="left" wrapText="1"/>
    </xf>
    <xf numFmtId="169" fontId="41" fillId="0" borderId="0" xfId="0" applyNumberFormat="1" applyFont="1" applyFill="1" applyBorder="1" applyAlignment="1">
      <alignment horizontal="center"/>
    </xf>
    <xf numFmtId="164" fontId="41" fillId="0" borderId="0" xfId="0" applyNumberFormat="1" applyFont="1" applyBorder="1" applyAlignment="1"/>
    <xf numFmtId="0" fontId="42" fillId="0" borderId="0" xfId="0" applyFont="1" applyFill="1" applyBorder="1" applyAlignment="1">
      <alignment horizontal="right" wrapText="1"/>
    </xf>
    <xf numFmtId="2" fontId="41" fillId="0" borderId="2" xfId="0" applyNumberFormat="1" applyFont="1" applyBorder="1" applyAlignment="1">
      <alignment horizontal="center"/>
    </xf>
    <xf numFmtId="1" fontId="41" fillId="0" borderId="1" xfId="0" applyNumberFormat="1" applyFont="1" applyBorder="1" applyAlignment="1">
      <alignment horizontal="center"/>
    </xf>
    <xf numFmtId="0" fontId="41" fillId="0" borderId="0" xfId="0" applyFont="1" applyBorder="1" applyAlignment="1">
      <alignment vertical="center"/>
    </xf>
    <xf numFmtId="169" fontId="41" fillId="0" borderId="0" xfId="0" applyNumberFormat="1" applyFont="1" applyFill="1" applyBorder="1" applyAlignment="1">
      <alignment horizontal="center" vertical="center" wrapText="1"/>
    </xf>
    <xf numFmtId="169" fontId="41" fillId="0" borderId="2" xfId="0" applyNumberFormat="1" applyFont="1" applyFill="1" applyBorder="1" applyAlignment="1">
      <alignment horizontal="center" vertical="center" wrapText="1"/>
    </xf>
    <xf numFmtId="1" fontId="41" fillId="0" borderId="1" xfId="0" applyNumberFormat="1" applyFont="1" applyBorder="1" applyAlignment="1">
      <alignment horizontal="center" vertical="center" wrapText="1"/>
    </xf>
    <xf numFmtId="2" fontId="41" fillId="0" borderId="0" xfId="0" applyNumberFormat="1" applyFont="1" applyBorder="1" applyAlignment="1">
      <alignment horizontal="center" vertical="center" wrapText="1"/>
    </xf>
    <xf numFmtId="2" fontId="41" fillId="0" borderId="1" xfId="0" applyNumberFormat="1" applyFont="1" applyBorder="1" applyAlignment="1">
      <alignment horizontal="center" vertical="center" wrapText="1"/>
    </xf>
    <xf numFmtId="0" fontId="41" fillId="0" borderId="0" xfId="0" applyFont="1" applyBorder="1" applyAlignment="1">
      <alignment horizontal="center"/>
    </xf>
    <xf numFmtId="0" fontId="37" fillId="34" borderId="0" xfId="0" applyFont="1" applyFill="1" applyBorder="1"/>
    <xf numFmtId="2" fontId="39" fillId="34" borderId="0" xfId="0" applyNumberFormat="1" applyFont="1" applyFill="1" applyBorder="1" applyAlignment="1">
      <alignment vertical="top" wrapText="1"/>
    </xf>
    <xf numFmtId="0" fontId="37" fillId="34" borderId="0" xfId="0" applyFont="1" applyFill="1"/>
    <xf numFmtId="167" fontId="41" fillId="0" borderId="1" xfId="0" applyNumberFormat="1" applyFont="1" applyBorder="1" applyAlignment="1">
      <alignment horizontal="center"/>
    </xf>
    <xf numFmtId="0" fontId="42" fillId="0" borderId="11" xfId="0" applyFont="1" applyFill="1" applyBorder="1" applyAlignment="1">
      <alignment horizontal="right" wrapText="1"/>
    </xf>
    <xf numFmtId="2" fontId="41" fillId="0" borderId="11" xfId="0" applyNumberFormat="1" applyFont="1" applyBorder="1" applyAlignment="1">
      <alignment horizontal="center"/>
    </xf>
    <xf numFmtId="3" fontId="41" fillId="0" borderId="11" xfId="0" applyNumberFormat="1" applyFont="1" applyFill="1" applyBorder="1" applyAlignment="1">
      <alignment horizontal="center"/>
    </xf>
    <xf numFmtId="2" fontId="41" fillId="0" borderId="11" xfId="0" applyNumberFormat="1" applyFont="1" applyFill="1" applyBorder="1" applyAlignment="1">
      <alignment horizontal="center"/>
    </xf>
    <xf numFmtId="1" fontId="41" fillId="0" borderId="11" xfId="0" applyNumberFormat="1" applyFont="1" applyFill="1" applyBorder="1" applyAlignment="1">
      <alignment horizontal="center"/>
    </xf>
    <xf numFmtId="164" fontId="41" fillId="0" borderId="11" xfId="0" applyNumberFormat="1" applyFont="1" applyFill="1" applyBorder="1" applyAlignment="1"/>
    <xf numFmtId="3" fontId="41" fillId="0" borderId="0" xfId="0" applyNumberFormat="1" applyFont="1" applyFill="1" applyBorder="1" applyAlignment="1">
      <alignment horizontal="center"/>
    </xf>
    <xf numFmtId="2" fontId="41" fillId="0" borderId="0" xfId="0" applyNumberFormat="1" applyFont="1" applyFill="1" applyBorder="1" applyAlignment="1">
      <alignment horizontal="center"/>
    </xf>
    <xf numFmtId="1" fontId="41" fillId="0" borderId="0" xfId="0" applyNumberFormat="1" applyFont="1" applyFill="1" applyBorder="1" applyAlignment="1">
      <alignment horizontal="center"/>
    </xf>
    <xf numFmtId="164" fontId="41" fillId="0" borderId="0" xfId="0" applyNumberFormat="1" applyFont="1" applyFill="1" applyBorder="1" applyAlignment="1"/>
    <xf numFmtId="0" fontId="41" fillId="0" borderId="0" xfId="0" applyFont="1" applyFill="1" applyBorder="1"/>
    <xf numFmtId="2" fontId="41" fillId="0" borderId="13" xfId="0" applyNumberFormat="1" applyFont="1" applyBorder="1" applyAlignment="1">
      <alignment horizontal="center"/>
    </xf>
    <xf numFmtId="164" fontId="41" fillId="0" borderId="13" xfId="0" applyNumberFormat="1" applyFont="1" applyBorder="1" applyAlignment="1"/>
    <xf numFmtId="164" fontId="41" fillId="0" borderId="2" xfId="0" applyNumberFormat="1" applyFont="1" applyBorder="1" applyAlignment="1"/>
    <xf numFmtId="0" fontId="41" fillId="0" borderId="13" xfId="0" applyFont="1" applyFill="1" applyBorder="1" applyAlignment="1">
      <alignment horizontal="left" wrapText="1"/>
    </xf>
    <xf numFmtId="169" fontId="41" fillId="0" borderId="11" xfId="0" applyNumberFormat="1" applyFont="1" applyFill="1" applyBorder="1" applyAlignment="1">
      <alignment horizontal="center"/>
    </xf>
    <xf numFmtId="1" fontId="41" fillId="0" borderId="11" xfId="0" applyNumberFormat="1" applyFont="1" applyBorder="1" applyAlignment="1">
      <alignment horizontal="center"/>
    </xf>
    <xf numFmtId="1" fontId="41" fillId="0" borderId="14" xfId="0" applyNumberFormat="1" applyFont="1" applyBorder="1" applyAlignment="1">
      <alignment horizontal="center"/>
    </xf>
    <xf numFmtId="0" fontId="41" fillId="0" borderId="2" xfId="0" applyFont="1" applyFill="1" applyBorder="1" applyAlignment="1">
      <alignment horizontal="left" wrapText="1"/>
    </xf>
    <xf numFmtId="0" fontId="41" fillId="0" borderId="15" xfId="0" applyFont="1" applyFill="1" applyBorder="1" applyAlignment="1">
      <alignment horizontal="left" wrapText="1"/>
    </xf>
    <xf numFmtId="169" fontId="41" fillId="0" borderId="12" xfId="0" applyNumberFormat="1" applyFont="1" applyFill="1" applyBorder="1" applyAlignment="1">
      <alignment horizontal="center"/>
    </xf>
    <xf numFmtId="2" fontId="41" fillId="0" borderId="15" xfId="0" applyNumberFormat="1" applyFont="1" applyBorder="1" applyAlignment="1">
      <alignment horizontal="center"/>
    </xf>
    <xf numFmtId="1" fontId="41" fillId="0" borderId="12" xfId="0" applyNumberFormat="1" applyFont="1" applyBorder="1" applyAlignment="1">
      <alignment horizontal="center"/>
    </xf>
    <xf numFmtId="164" fontId="41" fillId="0" borderId="15" xfId="0" applyNumberFormat="1" applyFont="1" applyBorder="1" applyAlignment="1"/>
    <xf numFmtId="1" fontId="41" fillId="0" borderId="16" xfId="0" applyNumberFormat="1" applyFont="1" applyBorder="1" applyAlignment="1">
      <alignment horizontal="center"/>
    </xf>
    <xf numFmtId="0" fontId="41" fillId="0" borderId="15" xfId="0" applyFont="1" applyBorder="1" applyAlignment="1">
      <alignment vertical="center"/>
    </xf>
    <xf numFmtId="169" fontId="41" fillId="0" borderId="12" xfId="0" applyNumberFormat="1" applyFont="1" applyFill="1" applyBorder="1" applyAlignment="1">
      <alignment horizontal="center" vertical="center" wrapText="1"/>
    </xf>
    <xf numFmtId="169" fontId="41" fillId="0" borderId="15" xfId="0" applyNumberFormat="1" applyFont="1" applyFill="1" applyBorder="1" applyAlignment="1">
      <alignment horizontal="center" vertical="center" wrapText="1"/>
    </xf>
    <xf numFmtId="1" fontId="41" fillId="0" borderId="16" xfId="0" applyNumberFormat="1" applyFont="1" applyBorder="1" applyAlignment="1">
      <alignment horizontal="center" vertical="center" wrapText="1"/>
    </xf>
    <xf numFmtId="2" fontId="41" fillId="0" borderId="12" xfId="0" applyNumberFormat="1" applyFont="1" applyBorder="1" applyAlignment="1">
      <alignment horizontal="center" vertical="center" wrapText="1"/>
    </xf>
    <xf numFmtId="2" fontId="41" fillId="0" borderId="16" xfId="0" applyNumberFormat="1" applyFont="1" applyBorder="1" applyAlignment="1">
      <alignment horizontal="center" vertical="center" wrapText="1"/>
    </xf>
    <xf numFmtId="0" fontId="41" fillId="0" borderId="11" xfId="0" applyFont="1" applyBorder="1"/>
    <xf numFmtId="169" fontId="41" fillId="0" borderId="11" xfId="0" applyNumberFormat="1" applyFont="1" applyBorder="1" applyAlignment="1">
      <alignment horizontal="center"/>
    </xf>
    <xf numFmtId="167" fontId="43" fillId="0" borderId="11" xfId="0" applyNumberFormat="1" applyFont="1" applyBorder="1" applyAlignment="1">
      <alignment horizontal="center"/>
    </xf>
    <xf numFmtId="0" fontId="41" fillId="0" borderId="11" xfId="0" applyFont="1" applyBorder="1" applyAlignment="1">
      <alignment horizontal="center"/>
    </xf>
    <xf numFmtId="0" fontId="41" fillId="0" borderId="13" xfId="0" applyFont="1" applyBorder="1"/>
    <xf numFmtId="0" fontId="37" fillId="35" borderId="0" xfId="0" applyFont="1" applyFill="1" applyBorder="1"/>
    <xf numFmtId="0" fontId="37" fillId="0" borderId="20" xfId="0" applyFont="1" applyBorder="1" applyAlignment="1">
      <alignment horizontal="centerContinuous" wrapText="1"/>
    </xf>
    <xf numFmtId="0" fontId="37" fillId="0" borderId="20" xfId="0" applyFont="1" applyBorder="1" applyAlignment="1">
      <alignment horizontal="centerContinuous" vertical="center" wrapText="1"/>
    </xf>
    <xf numFmtId="0" fontId="44" fillId="0" borderId="0" xfId="0" applyFont="1"/>
    <xf numFmtId="0" fontId="38" fillId="0" borderId="21" xfId="0" applyFont="1" applyBorder="1" applyAlignment="1">
      <alignment horizontal="centerContinuous" wrapText="1"/>
    </xf>
    <xf numFmtId="0" fontId="38" fillId="0" borderId="21" xfId="0" applyFont="1" applyBorder="1" applyAlignment="1">
      <alignment horizontal="centerContinuous"/>
    </xf>
    <xf numFmtId="0" fontId="38" fillId="0" borderId="0" xfId="0" applyFont="1" applyAlignment="1">
      <alignment horizontal="center"/>
    </xf>
    <xf numFmtId="0" fontId="45" fillId="0" borderId="0" xfId="0" applyFont="1" applyBorder="1"/>
    <xf numFmtId="2" fontId="37" fillId="0" borderId="0" xfId="0" applyNumberFormat="1" applyFont="1" applyBorder="1" applyAlignment="1">
      <alignment horizontal="center"/>
    </xf>
    <xf numFmtId="0" fontId="46" fillId="2" borderId="0" xfId="0" applyFont="1" applyFill="1" applyAlignment="1" applyProtection="1">
      <alignment horizontal="center" vertical="center"/>
      <protection locked="0"/>
    </xf>
    <xf numFmtId="0" fontId="38" fillId="0" borderId="0" xfId="0" applyFont="1" applyAlignment="1">
      <alignment horizontal="center" vertical="center"/>
    </xf>
    <xf numFmtId="0" fontId="38" fillId="0" borderId="22" xfId="0" applyFont="1" applyFill="1" applyBorder="1" applyAlignment="1">
      <alignment horizontal="center" vertical="center"/>
    </xf>
    <xf numFmtId="0" fontId="47" fillId="0" borderId="0" xfId="0" applyFont="1" applyBorder="1"/>
    <xf numFmtId="0" fontId="37" fillId="0" borderId="0" xfId="0" applyFont="1" applyBorder="1" applyAlignment="1">
      <alignment horizontal="center" vertical="center" wrapText="1"/>
    </xf>
    <xf numFmtId="0" fontId="37" fillId="0" borderId="0" xfId="0" applyFont="1" applyBorder="1" applyAlignment="1">
      <alignment horizontal="center" vertical="center"/>
    </xf>
    <xf numFmtId="171" fontId="40" fillId="0" borderId="0" xfId="0" applyNumberFormat="1" applyFont="1" applyBorder="1" applyAlignment="1"/>
    <xf numFmtId="10" fontId="40" fillId="0" borderId="0" xfId="0" applyNumberFormat="1" applyFont="1" applyBorder="1" applyAlignment="1"/>
    <xf numFmtId="0" fontId="40" fillId="0" borderId="0" xfId="0" applyFont="1" applyBorder="1"/>
    <xf numFmtId="0" fontId="46" fillId="0" borderId="11" xfId="0" applyFont="1" applyBorder="1" applyAlignment="1"/>
    <xf numFmtId="0" fontId="48" fillId="0" borderId="0" xfId="0" applyFont="1" applyBorder="1"/>
    <xf numFmtId="183" fontId="1" fillId="0" borderId="0" xfId="80" applyNumberFormat="1" applyFont="1" applyAlignment="1">
      <alignment vertical="center" wrapText="1"/>
    </xf>
    <xf numFmtId="185" fontId="1" fillId="0" borderId="5" xfId="80" applyNumberFormat="1" applyFont="1" applyFill="1" applyBorder="1" applyAlignment="1">
      <alignment horizontal="right" vertical="center"/>
    </xf>
    <xf numFmtId="185" fontId="1" fillId="0" borderId="6" xfId="80" applyNumberFormat="1" applyFont="1" applyFill="1" applyBorder="1" applyAlignment="1">
      <alignment horizontal="right" vertical="center"/>
    </xf>
    <xf numFmtId="0" fontId="49" fillId="6" borderId="12" xfId="7" applyFont="1" applyBorder="1"/>
    <xf numFmtId="3" fontId="40" fillId="0" borderId="0" xfId="0" quotePrefix="1" applyNumberFormat="1" applyFont="1" applyBorder="1"/>
    <xf numFmtId="171" fontId="40" fillId="0" borderId="0" xfId="0" applyNumberFormat="1" applyFont="1" applyBorder="1"/>
    <xf numFmtId="0" fontId="50" fillId="0" borderId="0" xfId="0" applyFont="1" applyBorder="1"/>
    <xf numFmtId="0" fontId="51" fillId="0" borderId="0" xfId="0" applyFont="1" applyBorder="1"/>
    <xf numFmtId="0" fontId="50" fillId="0" borderId="0" xfId="0" applyFont="1"/>
    <xf numFmtId="49" fontId="0" fillId="0" borderId="0" xfId="0" applyNumberFormat="1"/>
    <xf numFmtId="14" fontId="17" fillId="0" borderId="3" xfId="7" applyNumberFormat="1" applyFill="1" applyBorder="1"/>
    <xf numFmtId="14" fontId="52" fillId="6" borderId="0" xfId="7" applyNumberFormat="1" applyFont="1" applyAlignment="1">
      <alignment horizontal="right"/>
    </xf>
    <xf numFmtId="2" fontId="37" fillId="0" borderId="23" xfId="0" applyNumberFormat="1" applyFont="1" applyBorder="1" applyAlignment="1">
      <alignment horizontal="center"/>
    </xf>
    <xf numFmtId="2" fontId="37" fillId="0" borderId="24" xfId="0" applyNumberFormat="1" applyFont="1" applyBorder="1" applyAlignment="1">
      <alignment horizontal="center"/>
    </xf>
    <xf numFmtId="2" fontId="37" fillId="0" borderId="25" xfId="0" applyNumberFormat="1" applyFont="1" applyBorder="1" applyAlignment="1">
      <alignment horizontal="center"/>
    </xf>
    <xf numFmtId="2" fontId="37" fillId="0" borderId="26" xfId="0" applyNumberFormat="1" applyFont="1" applyBorder="1" applyAlignment="1">
      <alignment horizontal="center"/>
    </xf>
    <xf numFmtId="2" fontId="37" fillId="0" borderId="27" xfId="0" applyNumberFormat="1" applyFont="1" applyBorder="1" applyAlignment="1">
      <alignment horizontal="center"/>
    </xf>
    <xf numFmtId="2" fontId="37" fillId="0" borderId="28" xfId="0" applyNumberFormat="1" applyFont="1" applyBorder="1" applyAlignment="1">
      <alignment horizontal="center"/>
    </xf>
    <xf numFmtId="2" fontId="37" fillId="0" borderId="3" xfId="0" applyNumberFormat="1" applyFont="1" applyBorder="1" applyAlignment="1">
      <alignment horizontal="center"/>
    </xf>
    <xf numFmtId="0" fontId="37" fillId="0" borderId="29" xfId="0" applyFont="1" applyBorder="1" applyAlignment="1">
      <alignment horizontal="center" wrapText="1"/>
    </xf>
    <xf numFmtId="0" fontId="37" fillId="0" borderId="30" xfId="0" applyFont="1" applyBorder="1" applyAlignment="1">
      <alignment horizontal="center" wrapText="1"/>
    </xf>
    <xf numFmtId="2" fontId="37" fillId="0" borderId="31" xfId="0" applyNumberFormat="1" applyFont="1" applyBorder="1" applyAlignment="1">
      <alignment horizontal="center"/>
    </xf>
    <xf numFmtId="2" fontId="37" fillId="0" borderId="32" xfId="0" applyNumberFormat="1" applyFont="1" applyBorder="1" applyAlignment="1">
      <alignment horizontal="center"/>
    </xf>
    <xf numFmtId="2" fontId="37" fillId="0" borderId="33" xfId="0" applyNumberFormat="1" applyFont="1" applyBorder="1" applyAlignment="1">
      <alignment horizontal="center"/>
    </xf>
    <xf numFmtId="2" fontId="37" fillId="0" borderId="34" xfId="0" applyNumberFormat="1" applyFont="1" applyBorder="1" applyAlignment="1">
      <alignment horizontal="center" vertical="center"/>
    </xf>
    <xf numFmtId="2" fontId="37" fillId="0" borderId="35" xfId="0" applyNumberFormat="1" applyFont="1" applyBorder="1" applyAlignment="1">
      <alignment horizontal="center" vertical="center"/>
    </xf>
    <xf numFmtId="2" fontId="37" fillId="0" borderId="36" xfId="0" applyNumberFormat="1" applyFont="1" applyBorder="1" applyAlignment="1">
      <alignment horizontal="center" vertical="center"/>
    </xf>
    <xf numFmtId="173" fontId="37" fillId="0" borderId="37" xfId="0" applyNumberFormat="1" applyFont="1" applyBorder="1" applyAlignment="1">
      <alignment horizontal="center" vertical="center"/>
    </xf>
    <xf numFmtId="173" fontId="37" fillId="0" borderId="38" xfId="0" applyNumberFormat="1" applyFont="1" applyBorder="1" applyAlignment="1">
      <alignment horizontal="center" vertical="center"/>
    </xf>
    <xf numFmtId="173" fontId="37" fillId="0" borderId="39" xfId="0" applyNumberFormat="1" applyFont="1" applyBorder="1" applyAlignment="1">
      <alignment horizontal="center" vertical="center"/>
    </xf>
    <xf numFmtId="2" fontId="37" fillId="0" borderId="26" xfId="0" applyNumberFormat="1" applyFont="1" applyFill="1" applyBorder="1" applyAlignment="1">
      <alignment horizontal="center" vertical="center"/>
    </xf>
    <xf numFmtId="2" fontId="37" fillId="0" borderId="27" xfId="0" applyNumberFormat="1" applyFont="1" applyFill="1" applyBorder="1" applyAlignment="1">
      <alignment horizontal="center" vertical="center"/>
    </xf>
    <xf numFmtId="2" fontId="37" fillId="0" borderId="28" xfId="0" applyNumberFormat="1" applyFont="1" applyFill="1" applyBorder="1" applyAlignment="1">
      <alignment horizontal="center" vertical="center"/>
    </xf>
    <xf numFmtId="0" fontId="53" fillId="0" borderId="40" xfId="0" applyFont="1" applyBorder="1" applyAlignment="1"/>
    <xf numFmtId="0" fontId="34" fillId="0" borderId="41" xfId="0" applyFont="1" applyFill="1" applyBorder="1" applyAlignment="1">
      <alignment horizontal="center"/>
    </xf>
    <xf numFmtId="0" fontId="1" fillId="0" borderId="42" xfId="0" applyFont="1" applyFill="1" applyBorder="1" applyAlignment="1">
      <alignment horizontal="center" vertical="center" wrapText="1"/>
    </xf>
    <xf numFmtId="0" fontId="14" fillId="0" borderId="42" xfId="0" applyFont="1" applyFill="1" applyBorder="1" applyAlignment="1">
      <alignment vertical="center" wrapText="1"/>
    </xf>
    <xf numFmtId="0" fontId="1" fillId="0" borderId="43" xfId="0" applyFont="1" applyFill="1" applyBorder="1" applyAlignment="1">
      <alignment horizontal="center" vertical="center" wrapText="1"/>
    </xf>
    <xf numFmtId="0" fontId="14" fillId="0" borderId="43" xfId="0" applyFont="1" applyFill="1" applyBorder="1" applyAlignment="1">
      <alignment vertical="center" wrapText="1"/>
    </xf>
    <xf numFmtId="0" fontId="15" fillId="0" borderId="43" xfId="0" applyFont="1" applyFill="1" applyBorder="1" applyAlignment="1">
      <alignment vertical="center" wrapText="1"/>
    </xf>
    <xf numFmtId="0" fontId="34" fillId="0" borderId="41" xfId="0" applyFont="1"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0" xfId="0" applyAlignment="1">
      <alignment horizontal="center" vertical="center"/>
    </xf>
    <xf numFmtId="0" fontId="53" fillId="0" borderId="40" xfId="0" applyFont="1" applyBorder="1" applyAlignment="1">
      <alignment horizontal="left" vertical="center"/>
    </xf>
    <xf numFmtId="2" fontId="39" fillId="0" borderId="1" xfId="0" applyNumberFormat="1" applyFont="1" applyBorder="1" applyAlignment="1">
      <alignment horizontal="center" vertical="top" wrapText="1"/>
    </xf>
    <xf numFmtId="2" fontId="1" fillId="0" borderId="3" xfId="80" applyNumberFormat="1" applyFont="1" applyBorder="1" applyAlignment="1">
      <alignment horizontal="left" vertical="center" indent="1"/>
    </xf>
    <xf numFmtId="2" fontId="1" fillId="0" borderId="5" xfId="80" applyNumberFormat="1" applyFont="1" applyBorder="1" applyAlignment="1">
      <alignment horizontal="left" vertical="center" indent="1"/>
    </xf>
    <xf numFmtId="4" fontId="0" fillId="0" borderId="0" xfId="0" applyNumberFormat="1"/>
    <xf numFmtId="49" fontId="6" fillId="0" borderId="0" xfId="0" applyNumberFormat="1" applyFont="1"/>
    <xf numFmtId="0" fontId="4" fillId="0" borderId="44" xfId="80" applyFont="1" applyBorder="1" applyAlignment="1">
      <alignment vertical="center" wrapText="1"/>
    </xf>
    <xf numFmtId="0" fontId="4" fillId="0" borderId="7" xfId="80" applyFont="1" applyBorder="1" applyAlignment="1">
      <alignment vertical="center" wrapText="1"/>
    </xf>
    <xf numFmtId="0" fontId="4" fillId="0" borderId="45" xfId="80" applyFont="1" applyBorder="1" applyAlignment="1">
      <alignment vertical="center" wrapText="1"/>
    </xf>
    <xf numFmtId="0" fontId="4" fillId="0" borderId="46" xfId="80" applyFont="1" applyBorder="1" applyAlignment="1">
      <alignment vertical="center" wrapText="1"/>
    </xf>
    <xf numFmtId="10" fontId="40" fillId="0" borderId="12" xfId="0" applyNumberFormat="1" applyFont="1" applyBorder="1" applyAlignment="1"/>
    <xf numFmtId="10" fontId="40" fillId="0" borderId="16" xfId="0" applyNumberFormat="1" applyFont="1" applyBorder="1" applyAlignment="1"/>
    <xf numFmtId="171" fontId="40" fillId="0" borderId="15" xfId="0" applyNumberFormat="1" applyFont="1" applyBorder="1" applyAlignment="1"/>
    <xf numFmtId="171" fontId="40" fillId="0" borderId="12" xfId="0" applyNumberFormat="1" applyFont="1" applyBorder="1" applyAlignment="1"/>
    <xf numFmtId="171" fontId="40" fillId="0" borderId="13" xfId="0" applyNumberFormat="1" applyFont="1" applyBorder="1" applyAlignment="1" applyProtection="1">
      <protection locked="0"/>
    </xf>
    <xf numFmtId="171" fontId="40" fillId="0" borderId="11" xfId="0" applyNumberFormat="1" applyFont="1" applyBorder="1" applyAlignment="1" applyProtection="1">
      <protection locked="0"/>
    </xf>
    <xf numFmtId="171" fontId="40" fillId="0" borderId="15" xfId="0" applyNumberFormat="1" applyFont="1" applyBorder="1" applyAlignment="1" applyProtection="1"/>
    <xf numFmtId="171" fontId="40" fillId="0" borderId="12" xfId="0" applyNumberFormat="1" applyFont="1" applyBorder="1" applyAlignment="1" applyProtection="1"/>
    <xf numFmtId="171" fontId="38" fillId="0" borderId="21" xfId="0" applyNumberFormat="1" applyFont="1" applyBorder="1" applyAlignment="1">
      <alignment horizontal="center"/>
    </xf>
    <xf numFmtId="171" fontId="38" fillId="0" borderId="21" xfId="0" applyNumberFormat="1" applyFont="1" applyBorder="1" applyAlignment="1"/>
    <xf numFmtId="171" fontId="38" fillId="0" borderId="22" xfId="0" applyNumberFormat="1" applyFont="1" applyBorder="1" applyAlignment="1"/>
    <xf numFmtId="171" fontId="38" fillId="0" borderId="21" xfId="0" applyNumberFormat="1" applyFont="1" applyBorder="1" applyAlignment="1">
      <alignment horizontal="center" vertical="center"/>
    </xf>
    <xf numFmtId="0" fontId="38" fillId="0" borderId="21" xfId="0" applyFont="1" applyBorder="1" applyAlignment="1">
      <alignment horizontal="center"/>
    </xf>
    <xf numFmtId="0" fontId="38" fillId="0" borderId="22" xfId="0" applyFont="1" applyBorder="1" applyAlignment="1">
      <alignment horizontal="center"/>
    </xf>
    <xf numFmtId="167" fontId="38" fillId="0" borderId="21" xfId="0" applyNumberFormat="1" applyFont="1" applyBorder="1" applyAlignment="1">
      <alignment horizontal="center"/>
    </xf>
    <xf numFmtId="0" fontId="46" fillId="0" borderId="0" xfId="0" applyFont="1" applyBorder="1" applyAlignment="1">
      <alignment horizontal="center"/>
    </xf>
    <xf numFmtId="0" fontId="5" fillId="0" borderId="0" xfId="0" applyFont="1" applyBorder="1" applyAlignment="1">
      <alignment horizontal="center"/>
    </xf>
    <xf numFmtId="2" fontId="38" fillId="0" borderId="47" xfId="0" applyNumberFormat="1" applyFont="1" applyBorder="1" applyAlignment="1">
      <alignment horizontal="center"/>
    </xf>
    <xf numFmtId="0" fontId="38" fillId="0" borderId="47" xfId="0" applyFont="1" applyBorder="1" applyAlignment="1">
      <alignment horizontal="center"/>
    </xf>
    <xf numFmtId="0" fontId="54" fillId="0" borderId="13" xfId="0" applyFont="1" applyBorder="1" applyAlignment="1">
      <alignment horizontal="center"/>
    </xf>
    <xf numFmtId="0" fontId="5" fillId="0" borderId="11" xfId="0" applyFont="1" applyBorder="1" applyAlignment="1">
      <alignment horizontal="center"/>
    </xf>
    <xf numFmtId="0" fontId="54" fillId="0" borderId="2" xfId="0" applyFont="1" applyBorder="1" applyAlignment="1">
      <alignment horizontal="center"/>
    </xf>
    <xf numFmtId="0" fontId="54" fillId="0" borderId="0" xfId="0" applyFont="1" applyBorder="1" applyAlignment="1">
      <alignment horizontal="center"/>
    </xf>
    <xf numFmtId="0" fontId="54" fillId="0" borderId="1" xfId="0" applyFont="1" applyBorder="1" applyAlignment="1">
      <alignment horizontal="center"/>
    </xf>
  </cellXfs>
  <cellStyles count="92">
    <cellStyle name="20% - Accent1 2" xfId="1" xr:uid="{87CD8693-9150-44C3-AC2F-1926F01BE860}"/>
    <cellStyle name="20% - Accent1 3" xfId="2" xr:uid="{1BE23140-DB2A-4CFB-BC57-9BD875A7652A}"/>
    <cellStyle name="20% - Accent2 2" xfId="3" xr:uid="{141766A8-35AB-4380-B8AA-B174535E7234}"/>
    <cellStyle name="20% - Accent2 3" xfId="4" xr:uid="{D594EFD9-170E-43A3-BBC1-5263FFA6BC15}"/>
    <cellStyle name="20% - Accent3 2" xfId="5" xr:uid="{52703FB2-8C02-4A94-9BE0-951AAAF6166D}"/>
    <cellStyle name="20% - Accent3 3" xfId="6" xr:uid="{A865FB12-82A8-43BD-BED5-DF1988F790FE}"/>
    <cellStyle name="20% - Accent4 2" xfId="7" xr:uid="{CFCF153D-6B0F-4F77-956C-93F1D52CD49E}"/>
    <cellStyle name="20% - Accent4 3" xfId="8" xr:uid="{D25359A9-A1D5-4490-B631-F3D69B1B6EC1}"/>
    <cellStyle name="20% - Accent5 2" xfId="9" xr:uid="{64C68716-46AB-45F2-8849-9919ABC6BE8C}"/>
    <cellStyle name="20% - Accent5 3" xfId="10" xr:uid="{32FF6A77-DB5F-4EED-BC3A-D055ED2A7860}"/>
    <cellStyle name="20% - Accent6 2" xfId="11" xr:uid="{38937F28-0198-4134-AE29-ED4A40FD3BC4}"/>
    <cellStyle name="20% - Accent6 3" xfId="12" xr:uid="{375B6BDE-A8F0-4957-AED1-19F2D8C1D6E3}"/>
    <cellStyle name="40% - Accent1 2" xfId="13" xr:uid="{612E0F8D-27D7-420D-88D6-8DD606C55FD8}"/>
    <cellStyle name="40% - Accent1 3" xfId="14" xr:uid="{A038329D-A08C-4928-BF22-6E941CF5FB4A}"/>
    <cellStyle name="40% - Accent2 2" xfId="15" xr:uid="{DEFE9FED-76E5-455D-9670-7F0686EAC38B}"/>
    <cellStyle name="40% - Accent2 3" xfId="16" xr:uid="{4961A276-9CBC-4298-875E-DD1B73E690ED}"/>
    <cellStyle name="40% - Accent3 2" xfId="17" xr:uid="{AD7D3BBA-149C-4586-8F02-88FDC95005D9}"/>
    <cellStyle name="40% - Accent3 3" xfId="18" xr:uid="{EB925551-CB46-4B05-84CE-30447DA10A0A}"/>
    <cellStyle name="40% - Accent4 2" xfId="19" xr:uid="{404E64A3-AADB-4ED5-8B49-E346CF98ECA4}"/>
    <cellStyle name="40% - Accent4 3" xfId="20" xr:uid="{56698180-2F75-4A93-A651-50F2B14D6A3A}"/>
    <cellStyle name="40% - Accent5 2" xfId="21" xr:uid="{9073EEE8-7618-480A-A3FA-2507FB47F7C6}"/>
    <cellStyle name="40% - Accent5 3" xfId="22" xr:uid="{6D3368DC-35D2-449C-A06D-3A7AC2EB26ED}"/>
    <cellStyle name="40% - Accent6 2" xfId="23" xr:uid="{F9D1308A-D8EC-43DE-8548-8853FDB8774D}"/>
    <cellStyle name="40% - Accent6 3" xfId="24" xr:uid="{DE6FB842-9130-4196-A5C3-B5B16DA854CD}"/>
    <cellStyle name="60% - Accent1 2" xfId="25" xr:uid="{2EA6311D-588B-4B8F-AA2A-DF5E8A2CC434}"/>
    <cellStyle name="60% - Accent1 3" xfId="26" xr:uid="{B66FA248-3FED-4393-95E0-F21149DD81EA}"/>
    <cellStyle name="60% - Accent1 4" xfId="27" xr:uid="{4E489B6F-6D03-4C44-9EE1-E3ADC0706A45}"/>
    <cellStyle name="60% - Accent2 2" xfId="28" xr:uid="{9B98C840-55DB-44D2-8556-F94DF98D1745}"/>
    <cellStyle name="60% - Accent2 3" xfId="29" xr:uid="{8E99BB48-7E6D-4B79-B6D8-63BE63BAE979}"/>
    <cellStyle name="60% - Accent2 4" xfId="30" xr:uid="{34E00F11-2AC3-4782-BA48-649FF216E716}"/>
    <cellStyle name="60% - Accent3 2" xfId="31" xr:uid="{EDA2DF73-1BEA-4586-9379-09E67E0CA6CB}"/>
    <cellStyle name="60% - Accent3 3" xfId="32" xr:uid="{F67D9B6E-304B-4C91-BBEA-56059B7E4757}"/>
    <cellStyle name="60% - Accent3 4" xfId="33" xr:uid="{BAC2288F-7CEF-44F2-B235-7BC6C98CFAC7}"/>
    <cellStyle name="60% - Accent4 2" xfId="34" xr:uid="{0C2CC3D4-0B00-466F-A9A0-11C007B27B24}"/>
    <cellStyle name="60% - Accent4 3" xfId="35" xr:uid="{0FFCBB37-729E-4C27-8282-BB448EBA7C4C}"/>
    <cellStyle name="60% - Accent4 4" xfId="36" xr:uid="{83496F7C-BD86-4775-907E-957329F6D2A2}"/>
    <cellStyle name="60% - Accent5 2" xfId="37" xr:uid="{B743DC33-D09E-4006-BA40-929C7CA33F92}"/>
    <cellStyle name="60% - Accent5 3" xfId="38" xr:uid="{45949428-3E7C-4270-9F26-8D625A1E6D01}"/>
    <cellStyle name="60% - Accent5 4" xfId="39" xr:uid="{96451A4D-A7AF-4290-B202-C9A5AE5EC23B}"/>
    <cellStyle name="60% - Accent6 2" xfId="40" xr:uid="{5026DC93-F1DE-4FE7-8B45-BCB32DA39416}"/>
    <cellStyle name="60% - Accent6 3" xfId="41" xr:uid="{DCEB0905-7DC6-425C-B855-38B8AFAA7BBA}"/>
    <cellStyle name="60% - Accent6 4" xfId="42" xr:uid="{43A88FCD-B4A3-4E1D-82B3-B7951963ABA0}"/>
    <cellStyle name="Accent1 2" xfId="43" xr:uid="{1A3A577D-1326-40F3-A132-EF5FEDA61A9C}"/>
    <cellStyle name="Accent1 3" xfId="44" xr:uid="{C56CA576-15E2-462A-A11E-F70C1FAC9CD2}"/>
    <cellStyle name="Accent2 2" xfId="45" xr:uid="{41CE1864-CB15-4262-B810-F67E8DBB9C0E}"/>
    <cellStyle name="Accent2 3" xfId="46" xr:uid="{66845106-38D8-41C9-8F09-F4162E15357D}"/>
    <cellStyle name="Accent3 2" xfId="47" xr:uid="{06A1D949-75E1-468D-A31F-A3F626A3EA29}"/>
    <cellStyle name="Accent3 3" xfId="48" xr:uid="{4B820E83-EC16-4A92-B38E-DDF9029BA18D}"/>
    <cellStyle name="Accent4 2" xfId="49" xr:uid="{BE17F48D-761A-421C-851F-282A46D1BC60}"/>
    <cellStyle name="Accent4 3" xfId="50" xr:uid="{7BBD8E09-BCE1-47AD-BA0B-92D2307D9D09}"/>
    <cellStyle name="Accent5 2" xfId="51" xr:uid="{79EFF7F4-6A78-46B3-A9F6-E5AE438007F4}"/>
    <cellStyle name="Accent5 3" xfId="52" xr:uid="{8E98BB30-101A-4F14-B117-549B50AB72BD}"/>
    <cellStyle name="Accent6 2" xfId="53" xr:uid="{E5111799-97D6-4707-A5AC-AA8A64F1DEB8}"/>
    <cellStyle name="Accent6 3" xfId="54" xr:uid="{69B81F9A-9674-40F8-894A-4F27D0DDF14C}"/>
    <cellStyle name="Bad 2" xfId="55" xr:uid="{13A75742-4191-4292-A70C-DA3B06176727}"/>
    <cellStyle name="Bad 3" xfId="56" xr:uid="{CF77A23A-996A-4801-9514-964E11ACB596}"/>
    <cellStyle name="Calculation 2" xfId="57" xr:uid="{3E98C6D3-32E5-4549-B46D-6772ECB2973C}"/>
    <cellStyle name="Calculation 3" xfId="58" xr:uid="{CA51CEFA-2CC6-4BC5-BADD-B3C34212CA76}"/>
    <cellStyle name="Check Cell 2" xfId="59" xr:uid="{846B4BF7-313F-4114-A1B9-B8A3B18A2F2F}"/>
    <cellStyle name="Check Cell 3" xfId="60" xr:uid="{31CBACAC-9E02-4A5F-AD1B-668402021A45}"/>
    <cellStyle name="Explanatory Text 2" xfId="61" xr:uid="{3F769381-981C-4B94-B650-FB16F1082AE7}"/>
    <cellStyle name="Explanatory Text 3" xfId="62" xr:uid="{4920EBA5-B6F1-4C1E-A1A5-A657DC1D6B33}"/>
    <cellStyle name="Good 2" xfId="63" xr:uid="{ED3BDED7-946F-40E4-827E-105E97A50033}"/>
    <cellStyle name="Good 3" xfId="64" xr:uid="{88843064-5A18-4642-87E1-E7E8F0666FD2}"/>
    <cellStyle name="Heading 1 2" xfId="65" xr:uid="{54938ED5-95B8-4138-B68A-BA372682355F}"/>
    <cellStyle name="Heading 1 3" xfId="66" xr:uid="{5AB0EE84-F6B8-434C-A0C5-1F66B0CE382C}"/>
    <cellStyle name="Heading 2 2" xfId="67" xr:uid="{B3D7BC3D-598F-4AB2-A7F0-5A62B0F65B43}"/>
    <cellStyle name="Heading 2 3" xfId="68" xr:uid="{EB4F1252-2F4C-4B4B-A221-0AE7CDD63BFB}"/>
    <cellStyle name="Heading 3 2" xfId="69" xr:uid="{0F7F9FF0-ABC5-4AC7-A4A0-1D011C3BFC0B}"/>
    <cellStyle name="Heading 3 3" xfId="70" xr:uid="{0DD3A8E0-E236-4296-B84A-F400A13E1D9E}"/>
    <cellStyle name="Heading 4 2" xfId="71" xr:uid="{DE8B4FB0-7A8A-4CCD-A9D8-4E756FB665E2}"/>
    <cellStyle name="Heading 4 3" xfId="72" xr:uid="{DD420F29-6089-4063-A606-74492DD78920}"/>
    <cellStyle name="Input 2" xfId="73" xr:uid="{6E631DA5-2E01-4B65-AFA8-1DD1816EF3A2}"/>
    <cellStyle name="Input 3" xfId="74" xr:uid="{851409A0-5DD0-46F3-AF12-4872D9F0684F}"/>
    <cellStyle name="Linked Cell 2" xfId="75" xr:uid="{7D9603F0-D831-4B9F-88EB-1011C761680F}"/>
    <cellStyle name="Linked Cell 3" xfId="76" xr:uid="{C2630069-4A3A-474E-A111-C09937787248}"/>
    <cellStyle name="Neutral 2" xfId="77" xr:uid="{9832CE25-8525-4C16-AFCA-C5DF892C84D1}"/>
    <cellStyle name="Neutral 3" xfId="78" xr:uid="{135F6C3C-294D-47C9-A105-CE6A930B611E}"/>
    <cellStyle name="Neutral 4" xfId="79" xr:uid="{3E08559A-EA03-4F5E-A012-DBC2AEB8EBEC}"/>
    <cellStyle name="Normal" xfId="0" builtinId="0"/>
    <cellStyle name="Normal 2" xfId="80" xr:uid="{274566A5-CCF7-4E73-BA69-CB751BE1C608}"/>
    <cellStyle name="Normal 4" xfId="81" xr:uid="{62A9AB9E-1A9B-47F5-BF26-A2874A1993EE}"/>
    <cellStyle name="Note 2" xfId="82" xr:uid="{2B6792E7-EF04-4F34-8A62-F2CFC10A38EE}"/>
    <cellStyle name="Note 3" xfId="83" xr:uid="{940269B1-A5EB-4FED-BA90-547DE2E47E35}"/>
    <cellStyle name="Output 2" xfId="84" xr:uid="{B0578FC8-D4BE-4961-AE3F-20CA7311A989}"/>
    <cellStyle name="Output 3" xfId="85" xr:uid="{F0F44EA1-C087-4109-97B4-AC944C23C0DF}"/>
    <cellStyle name="Title" xfId="86" builtinId="15" customBuiltin="1"/>
    <cellStyle name="Title 2" xfId="87" xr:uid="{57C23000-D98F-4775-86FD-691D7EB3F4BF}"/>
    <cellStyle name="Total 2" xfId="88" xr:uid="{70B0C035-EB7E-4CF3-BC43-9825FC00A201}"/>
    <cellStyle name="Total 3" xfId="89" xr:uid="{158CAD6D-042B-4199-8887-5944D3C692BC}"/>
    <cellStyle name="Warning Text 2" xfId="90" xr:uid="{75D628C6-FCB2-4F11-B01B-0FD301683237}"/>
    <cellStyle name="Warning Text 3" xfId="91" xr:uid="{4618ADF9-00D2-47DD-802F-D3E8E69E6209}"/>
  </cellStyles>
  <dxfs count="434">
    <dxf>
      <fill>
        <patternFill>
          <bgColor theme="9" tint="-0.24994659260841701"/>
        </patternFill>
      </fill>
    </dxf>
    <dxf>
      <font>
        <b/>
        <i val="0"/>
      </font>
      <fill>
        <patternFill>
          <bgColor theme="6" tint="0.5999633777886288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42"/>
        </patternFill>
      </fill>
    </dxf>
    <dxf>
      <fill>
        <patternFill>
          <bgColor indexed="45"/>
        </patternFill>
      </fill>
    </dxf>
    <dxf>
      <fill>
        <patternFill>
          <bgColor indexed="45"/>
        </patternFill>
      </fill>
    </dxf>
    <dxf>
      <fill>
        <patternFill>
          <bgColor indexed="26"/>
        </patternFill>
      </fill>
    </dxf>
    <dxf>
      <fill>
        <patternFill>
          <bgColor indexed="42"/>
        </patternFill>
      </fill>
    </dxf>
    <dxf>
      <fill>
        <patternFill>
          <bgColor indexed="45"/>
        </patternFill>
      </fill>
    </dxf>
    <dxf>
      <fill>
        <patternFill>
          <bgColor indexed="45"/>
        </patternFill>
      </fill>
    </dxf>
    <dxf>
      <fill>
        <patternFill>
          <bgColor indexed="26"/>
        </patternFill>
      </fill>
    </dxf>
    <dxf>
      <fill>
        <patternFill>
          <bgColor indexed="45"/>
        </patternFill>
      </fill>
    </dxf>
    <dxf>
      <fill>
        <patternFill>
          <bgColor indexed="26"/>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fill>
        <patternFill>
          <bgColor indexed="45"/>
        </patternFill>
      </fill>
    </dxf>
    <dxf>
      <fill>
        <patternFill>
          <bgColor indexed="26"/>
        </patternFill>
      </fill>
    </dxf>
    <dxf>
      <fill>
        <patternFill>
          <bgColor indexed="42"/>
        </patternFill>
      </fill>
    </dxf>
    <dxf>
      <fill>
        <patternFill>
          <bgColor indexed="45"/>
        </patternFill>
      </fill>
    </dxf>
    <dxf>
      <fill>
        <patternFill>
          <bgColor indexed="45"/>
        </patternFill>
      </fill>
    </dxf>
    <dxf>
      <fill>
        <patternFill>
          <bgColor indexed="42"/>
        </patternFill>
      </fill>
    </dxf>
    <dxf>
      <font>
        <b/>
        <i val="0"/>
        <condense val="0"/>
        <extend val="0"/>
      </font>
    </dxf>
    <dxf>
      <font>
        <b/>
        <i val="0"/>
        <condense val="0"/>
        <extend val="0"/>
        <color indexed="10"/>
      </font>
      <fill>
        <patternFill patternType="none">
          <bgColor indexed="6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
      <fill>
        <patternFill>
          <bgColor indexed="26"/>
        </patternFill>
      </fill>
    </dxf>
    <dxf>
      <fill>
        <patternFill>
          <bgColor indexed="45"/>
        </patternFill>
      </fill>
    </dxf>
    <dxf>
      <fill>
        <patternFill>
          <bgColor indexed="26"/>
        </patternFill>
      </fill>
    </dxf>
    <dxf>
      <fill>
        <patternFill>
          <bgColor indexed="45"/>
        </patternFill>
      </fill>
    </dxf>
    <dxf>
      <fill>
        <patternFill>
          <bgColor indexed="45"/>
        </patternFill>
      </fill>
    </dxf>
    <dxf>
      <fill>
        <patternFill>
          <bgColor indexed="43"/>
        </patternFill>
      </fill>
    </dxf>
    <dxf>
      <fill>
        <patternFill>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844727589902179E-2"/>
          <c:y val="5.7319352515518368E-2"/>
          <c:w val="0.90072668586471982"/>
          <c:h val="0.68868628584968306"/>
        </c:manualLayout>
      </c:layout>
      <c:barChart>
        <c:barDir val="col"/>
        <c:grouping val="clustered"/>
        <c:varyColors val="0"/>
        <c:ser>
          <c:idx val="1"/>
          <c:order val="0"/>
          <c:tx>
            <c:strRef>
              <c:f>'US Chart'!$A$6</c:f>
              <c:strCache>
                <c:ptCount val="1"/>
                <c:pt idx="0">
                  <c:v>Unexpended Ratio</c:v>
                </c:pt>
              </c:strCache>
            </c:strRef>
          </c:tx>
          <c:spPr>
            <a:solidFill>
              <a:srgbClr val="00FF00"/>
            </a:solidFill>
            <a:ln w="12700">
              <a:solidFill>
                <a:srgbClr val="000000"/>
              </a:solidFill>
              <a:prstDash val="solid"/>
            </a:ln>
          </c:spPr>
          <c:invertIfNegative val="0"/>
          <c:cat>
            <c:strRef>
              <c:f>'US Chart'!$B$5:$Y$5</c:f>
              <c:strCache>
                <c:ptCount val="24"/>
                <c:pt idx="0">
                  <c:v>Oct'24</c:v>
                </c:pt>
                <c:pt idx="1">
                  <c:v>Nov'24</c:v>
                </c:pt>
                <c:pt idx="2">
                  <c:v>Dec'24</c:v>
                </c:pt>
                <c:pt idx="3">
                  <c:v>Jan'25</c:v>
                </c:pt>
                <c:pt idx="4">
                  <c:v>Feb'25</c:v>
                </c:pt>
                <c:pt idx="5">
                  <c:v>Mar'25</c:v>
                </c:pt>
                <c:pt idx="6">
                  <c:v>Apr'25</c:v>
                </c:pt>
                <c:pt idx="7">
                  <c:v>May'25</c:v>
                </c:pt>
                <c:pt idx="8">
                  <c:v>Jun'25</c:v>
                </c:pt>
                <c:pt idx="9">
                  <c:v>Jul'25</c:v>
                </c:pt>
                <c:pt idx="10">
                  <c:v>Aug'25</c:v>
                </c:pt>
                <c:pt idx="11">
                  <c:v>Sep'25</c:v>
                </c:pt>
                <c:pt idx="12">
                  <c:v>Oct'25</c:v>
                </c:pt>
                <c:pt idx="13">
                  <c:v>Nov'25</c:v>
                </c:pt>
                <c:pt idx="14">
                  <c:v>Dec'25</c:v>
                </c:pt>
                <c:pt idx="15">
                  <c:v>Jan'26</c:v>
                </c:pt>
                <c:pt idx="16">
                  <c:v>Feb'26</c:v>
                </c:pt>
                <c:pt idx="17">
                  <c:v>Mar'26</c:v>
                </c:pt>
                <c:pt idx="18">
                  <c:v>Apr'26</c:v>
                </c:pt>
                <c:pt idx="19">
                  <c:v>May'26</c:v>
                </c:pt>
                <c:pt idx="20">
                  <c:v>Jun'26</c:v>
                </c:pt>
                <c:pt idx="21">
                  <c:v>Jul'26</c:v>
                </c:pt>
                <c:pt idx="22">
                  <c:v>Aug'26</c:v>
                </c:pt>
                <c:pt idx="23">
                  <c:v>Sep'26</c:v>
                </c:pt>
              </c:strCache>
            </c:strRef>
          </c:cat>
          <c:val>
            <c:numRef>
              <c:f>'US Chart'!$B$6:$Y$6</c:f>
              <c:numCache>
                <c:formatCode>0.00</c:formatCode>
                <c:ptCount val="24"/>
                <c:pt idx="0">
                  <c:v>3.39</c:v>
                </c:pt>
                <c:pt idx="1">
                  <c:v>3.43</c:v>
                </c:pt>
                <c:pt idx="2">
                  <c:v>3.43</c:v>
                </c:pt>
                <c:pt idx="3">
                  <c:v>3.43</c:v>
                </c:pt>
                <c:pt idx="4">
                  <c:v>3.36</c:v>
                </c:pt>
                <c:pt idx="5">
                  <c:v>3.29</c:v>
                </c:pt>
                <c:pt idx="6">
                  <c:v>3.29</c:v>
                </c:pt>
                <c:pt idx="7">
                  <c:v>3.16</c:v>
                </c:pt>
                <c:pt idx="8">
                  <c:v>3.08</c:v>
                </c:pt>
                <c:pt idx="9">
                  <c:v>3</c:v>
                </c:pt>
                <c:pt idx="10">
                  <c:v>2.89</c:v>
                </c:pt>
                <c:pt idx="11">
                  <c:v>3.56</c:v>
                </c:pt>
                <c:pt idx="12">
                  <c:v>3.46</c:v>
                </c:pt>
                <c:pt idx="13">
                  <c:v>3.38</c:v>
                </c:pt>
                <c:pt idx="14">
                  <c:v>3.39</c:v>
                </c:pt>
                <c:pt idx="15">
                  <c:v>3.42</c:v>
                </c:pt>
                <c:pt idx="16">
                  <c:v>3.37</c:v>
                </c:pt>
                <c:pt idx="17">
                  <c:v>3.32</c:v>
                </c:pt>
                <c:pt idx="18">
                  <c:v>3.25</c:v>
                </c:pt>
                <c:pt idx="19">
                  <c:v>3.18</c:v>
                </c:pt>
                <c:pt idx="20">
                  <c:v>3.07</c:v>
                </c:pt>
                <c:pt idx="21">
                  <c:v>2.98</c:v>
                </c:pt>
                <c:pt idx="22">
                  <c:v>2.9</c:v>
                </c:pt>
                <c:pt idx="23">
                  <c:v>3.26</c:v>
                </c:pt>
              </c:numCache>
            </c:numRef>
          </c:val>
          <c:extLst>
            <c:ext xmlns:c16="http://schemas.microsoft.com/office/drawing/2014/chart" uri="{C3380CC4-5D6E-409C-BE32-E72D297353CC}">
              <c16:uniqueId val="{00000000-5C9F-498D-823A-B3307D202632}"/>
            </c:ext>
          </c:extLst>
        </c:ser>
        <c:ser>
          <c:idx val="0"/>
          <c:order val="1"/>
          <c:tx>
            <c:strRef>
              <c:f>'US Chart'!$A$7</c:f>
              <c:strCache>
                <c:ptCount val="1"/>
                <c:pt idx="0">
                  <c:v>Unexpended $$ (billions)</c:v>
                </c:pt>
              </c:strCache>
            </c:strRef>
          </c:tx>
          <c:spPr>
            <a:solidFill>
              <a:srgbClr val="0000FF"/>
            </a:solidFill>
            <a:ln w="12700">
              <a:solidFill>
                <a:srgbClr val="000000"/>
              </a:solidFill>
              <a:prstDash val="solid"/>
            </a:ln>
          </c:spPr>
          <c:invertIfNegative val="0"/>
          <c:dLbls>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'US Chart'!$B$7:$Y$7</c:f>
              <c:numCache>
                <c:formatCode>"$"#,##0.00</c:formatCode>
                <c:ptCount val="24"/>
                <c:pt idx="0">
                  <c:v>3.3420862042600024</c:v>
                </c:pt>
                <c:pt idx="1">
                  <c:v>3.3815534093399964</c:v>
                </c:pt>
                <c:pt idx="2">
                  <c:v>3.3741574572399977</c:v>
                </c:pt>
                <c:pt idx="3">
                  <c:v>3.3645987558799972</c:v>
                </c:pt>
                <c:pt idx="4">
                  <c:v>3.2962625077299958</c:v>
                </c:pt>
                <c:pt idx="5">
                  <c:v>3.2321113471699983</c:v>
                </c:pt>
                <c:pt idx="6">
                  <c:v>3.2321113471699983</c:v>
                </c:pt>
                <c:pt idx="7">
                  <c:v>3.1002064133799974</c:v>
                </c:pt>
                <c:pt idx="8">
                  <c:v>3.0236046714599989</c:v>
                </c:pt>
                <c:pt idx="9">
                  <c:v>2.9417699510599977</c:v>
                </c:pt>
                <c:pt idx="10">
                  <c:v>2.8397359367600021</c:v>
                </c:pt>
                <c:pt idx="11">
                  <c:v>3.5019987663800047</c:v>
                </c:pt>
                <c:pt idx="12">
                  <c:v>3.4070424760100022</c:v>
                </c:pt>
                <c:pt idx="13">
                  <c:v>3.3262852529200058</c:v>
                </c:pt>
                <c:pt idx="14">
                  <c:v>3.3412468479300004</c:v>
                </c:pt>
                <c:pt idx="15">
                  <c:v>3.3678735871399992</c:v>
                </c:pt>
                <c:pt idx="16">
                  <c:v>3.3117770370900041</c:v>
                </c:pt>
                <c:pt idx="17">
                  <c:v>3.2669811682799987</c:v>
                </c:pt>
                <c:pt idx="18">
                  <c:v>3.1975689375400007</c:v>
                </c:pt>
                <c:pt idx="19">
                  <c:v>3.1290644247600023</c:v>
                </c:pt>
                <c:pt idx="20">
                  <c:v>3.0199945821700056</c:v>
                </c:pt>
                <c:pt idx="21">
                  <c:v>2.9352878620699996</c:v>
                </c:pt>
                <c:pt idx="22">
                  <c:v>2.8497317438500063</c:v>
                </c:pt>
                <c:pt idx="23">
                  <c:v>3.2130372190100021</c:v>
                </c:pt>
              </c:numCache>
            </c:numRef>
          </c:val>
          <c:extLst>
            <c:ext xmlns:c16="http://schemas.microsoft.com/office/drawing/2014/chart" uri="{C3380CC4-5D6E-409C-BE32-E72D297353CC}">
              <c16:uniqueId val="{00000001-5C9F-498D-823A-B3307D202632}"/>
            </c:ext>
          </c:extLst>
        </c:ser>
        <c:dLbls>
          <c:showLegendKey val="0"/>
          <c:showVal val="0"/>
          <c:showCatName val="0"/>
          <c:showSerName val="0"/>
          <c:showPercent val="0"/>
          <c:showBubbleSize val="0"/>
        </c:dLbls>
        <c:gapWidth val="150"/>
        <c:axId val="1047515392"/>
        <c:axId val="1"/>
      </c:barChart>
      <c:lineChart>
        <c:grouping val="standard"/>
        <c:varyColors val="0"/>
        <c:ser>
          <c:idx val="2"/>
          <c:order val="2"/>
          <c:tx>
            <c:strRef>
              <c:f>'US Chart'!$A$8</c:f>
              <c:strCache>
                <c:ptCount val="1"/>
                <c:pt idx="0">
                  <c:v>Expenditure Ratio</c:v>
                </c:pt>
              </c:strCache>
            </c:strRef>
          </c:tx>
          <c:spPr>
            <a:ln w="25400">
              <a:solidFill>
                <a:srgbClr val="FF0000"/>
              </a:solidFill>
              <a:prstDash val="solid"/>
            </a:ln>
          </c:spPr>
          <c:marker>
            <c:symbol val="triangle"/>
            <c:size val="5"/>
            <c:spPr>
              <a:solidFill>
                <a:srgbClr val="FF0000"/>
              </a:solidFill>
              <a:ln>
                <a:solidFill>
                  <a:srgbClr val="FF0000"/>
                </a:solidFill>
                <a:prstDash val="solid"/>
              </a:ln>
            </c:spPr>
          </c:marker>
          <c:val>
            <c:numRef>
              <c:f>'US Chart'!$B$8:$Y$8</c:f>
              <c:numCache>
                <c:formatCode>0.00</c:formatCode>
                <c:ptCount val="24"/>
                <c:pt idx="0">
                  <c:v>0.93</c:v>
                </c:pt>
                <c:pt idx="1">
                  <c:v>0.94</c:v>
                </c:pt>
                <c:pt idx="2">
                  <c:v>0.93</c:v>
                </c:pt>
                <c:pt idx="3">
                  <c:v>0.96</c:v>
                </c:pt>
                <c:pt idx="4">
                  <c:v>0.96</c:v>
                </c:pt>
                <c:pt idx="5">
                  <c:v>0.96</c:v>
                </c:pt>
                <c:pt idx="6">
                  <c:v>0.96</c:v>
                </c:pt>
                <c:pt idx="7">
                  <c:v>0.94</c:v>
                </c:pt>
                <c:pt idx="8">
                  <c:v>0.93</c:v>
                </c:pt>
                <c:pt idx="9">
                  <c:v>0.94</c:v>
                </c:pt>
                <c:pt idx="10">
                  <c:v>0.95</c:v>
                </c:pt>
                <c:pt idx="11">
                  <c:v>0.97</c:v>
                </c:pt>
                <c:pt idx="12">
                  <c:v>0.98</c:v>
                </c:pt>
                <c:pt idx="13">
                  <c:v>0.99</c:v>
                </c:pt>
                <c:pt idx="14">
                  <c:v>0.98</c:v>
                </c:pt>
                <c:pt idx="15">
                  <c:v>0.94</c:v>
                </c:pt>
                <c:pt idx="16">
                  <c:v>0.94</c:v>
                </c:pt>
                <c:pt idx="17">
                  <c:v>0.96</c:v>
                </c:pt>
                <c:pt idx="18">
                  <c:v>0.96</c:v>
                </c:pt>
                <c:pt idx="19">
                  <c:v>0.96</c:v>
                </c:pt>
                <c:pt idx="20">
                  <c:v>1</c:v>
                </c:pt>
                <c:pt idx="21">
                  <c:v>1</c:v>
                </c:pt>
                <c:pt idx="22">
                  <c:v>0.99</c:v>
                </c:pt>
                <c:pt idx="23">
                  <c:v>0.97</c:v>
                </c:pt>
              </c:numCache>
            </c:numRef>
          </c:val>
          <c:smooth val="0"/>
          <c:extLst>
            <c:ext xmlns:c16="http://schemas.microsoft.com/office/drawing/2014/chart" uri="{C3380CC4-5D6E-409C-BE32-E72D297353CC}">
              <c16:uniqueId val="{00000002-5C9F-498D-823A-B3307D202632}"/>
            </c:ext>
          </c:extLst>
        </c:ser>
        <c:dLbls>
          <c:showLegendKey val="0"/>
          <c:showVal val="0"/>
          <c:showCatName val="0"/>
          <c:showSerName val="0"/>
          <c:showPercent val="0"/>
          <c:showBubbleSize val="0"/>
        </c:dLbls>
        <c:marker val="1"/>
        <c:smooth val="0"/>
        <c:axId val="3"/>
        <c:axId val="4"/>
      </c:lineChart>
      <c:catAx>
        <c:axId val="104751539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0"/>
        <c:lblAlgn val="ctr"/>
        <c:lblOffset val="100"/>
        <c:tickLblSkip val="1"/>
        <c:tickMarkSkip val="1"/>
        <c:noMultiLvlLbl val="0"/>
      </c:catAx>
      <c:valAx>
        <c:axId val="1"/>
        <c:scaling>
          <c:orientation val="minMax"/>
        </c:scaling>
        <c:delete val="0"/>
        <c:axPos val="l"/>
        <c:numFmt formatCode="0.00"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Calibri"/>
                <a:ea typeface="Calibri"/>
                <a:cs typeface="Calibri"/>
              </a:defRPr>
            </a:pPr>
            <a:endParaRPr lang="en-US"/>
          </a:p>
        </c:txPr>
        <c:crossAx val="1047515392"/>
        <c:crosses val="autoZero"/>
        <c:crossBetween val="between"/>
      </c:valAx>
      <c:catAx>
        <c:axId val="3"/>
        <c:scaling>
          <c:orientation val="minMax"/>
        </c:scaling>
        <c:delete val="1"/>
        <c:axPos val="b"/>
        <c:majorTickMark val="out"/>
        <c:minorTickMark val="none"/>
        <c:tickLblPos val="nextTo"/>
        <c:crossAx val="4"/>
        <c:crosses val="autoZero"/>
        <c:auto val="0"/>
        <c:lblAlgn val="ctr"/>
        <c:lblOffset val="100"/>
        <c:noMultiLvlLbl val="0"/>
      </c:catAx>
      <c:valAx>
        <c:axId val="4"/>
        <c:scaling>
          <c:orientation val="minMax"/>
        </c:scaling>
        <c:delete val="1"/>
        <c:axPos val="l"/>
        <c:numFmt formatCode="0.00" sourceLinked="1"/>
        <c:majorTickMark val="out"/>
        <c:minorTickMark val="none"/>
        <c:tickLblPos val="nextTo"/>
        <c:crossAx val="3"/>
        <c:crosses val="autoZero"/>
        <c:crossBetween val="between"/>
      </c:valAx>
      <c:spPr>
        <a:noFill/>
        <a:ln w="12700">
          <a:solidFill>
            <a:srgbClr val="000000"/>
          </a:solidFill>
          <a:prstDash val="solid"/>
        </a:ln>
      </c:spPr>
    </c:plotArea>
    <c:legend>
      <c:legendPos val="r"/>
      <c:layout>
        <c:manualLayout>
          <c:xMode val="edge"/>
          <c:yMode val="edge"/>
          <c:x val="0.16853926693096671"/>
          <c:y val="0.86770816522538741"/>
          <c:w val="0.66201850556263375"/>
          <c:h val="9.0166705428279134E-2"/>
        </c:manualLayout>
      </c:layout>
      <c:overlay val="0"/>
      <c:spPr>
        <a:solidFill>
          <a:srgbClr val="FFFFFF"/>
        </a:solidFill>
        <a:ln w="3175">
          <a:solidFill>
            <a:srgbClr val="000000"/>
          </a:solidFill>
          <a:prstDash val="solid"/>
        </a:ln>
      </c:spPr>
      <c:txPr>
        <a:bodyPr/>
        <a:lstStyle/>
        <a:p>
          <a:pPr>
            <a:defRPr sz="60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oddHeader>&amp;A</c:oddHeader>
      <c:oddFooter>Page &amp;P</c:oddFooter>
    </c:headerFooter>
    <c:pageMargins b="1" l="0.75" r="0.75" t="1" header="0.5" footer="0.5"/>
    <c:pageSetup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Calibri"/>
                <a:ea typeface="Calibri"/>
                <a:cs typeface="Calibri"/>
              </a:defRPr>
            </a:pPr>
            <a:r>
              <a:rPr lang="en-US"/>
              <a:t>Comparison of Unexpended Ratio to Annual Expenditure Rate</a:t>
            </a:r>
          </a:p>
        </c:rich>
      </c:tx>
      <c:layout>
        <c:manualLayout>
          <c:xMode val="edge"/>
          <c:yMode val="edge"/>
          <c:x val="0.24921149258750222"/>
          <c:y val="2.7681649511679379E-2"/>
        </c:manualLayout>
      </c:layout>
      <c:overlay val="0"/>
      <c:spPr>
        <a:noFill/>
        <a:ln w="25400">
          <a:noFill/>
        </a:ln>
      </c:spPr>
    </c:title>
    <c:autoTitleDeleted val="0"/>
    <c:plotArea>
      <c:layout>
        <c:manualLayout>
          <c:layoutTarget val="inner"/>
          <c:xMode val="edge"/>
          <c:yMode val="edge"/>
          <c:x val="7.3143112558360202E-2"/>
          <c:y val="9.4079976983452149E-2"/>
          <c:w val="0.87882715616899043"/>
          <c:h val="0.72056374955411118"/>
        </c:manualLayout>
      </c:layout>
      <c:barChart>
        <c:barDir val="col"/>
        <c:grouping val="clustered"/>
        <c:varyColors val="0"/>
        <c:ser>
          <c:idx val="1"/>
          <c:order val="0"/>
          <c:tx>
            <c:strRef>
              <c:f>'State Chart'!$A$6</c:f>
              <c:strCache>
                <c:ptCount val="1"/>
                <c:pt idx="0">
                  <c:v>Unexpended Ratio</c:v>
                </c:pt>
              </c:strCache>
            </c:strRef>
          </c:tx>
          <c:spPr>
            <a:solidFill>
              <a:srgbClr val="00FF00"/>
            </a:solidFill>
            <a:ln w="12700">
              <a:solidFill>
                <a:srgbClr val="000000"/>
              </a:solidFill>
              <a:prstDash val="solid"/>
            </a:ln>
          </c:spPr>
          <c:invertIfNegative val="0"/>
          <c:cat>
            <c:strRef>
              <c:f>'State Chart'!$B$5:$Y$5</c:f>
              <c:strCache>
                <c:ptCount val="24"/>
                <c:pt idx="0">
                  <c:v>Oct'24</c:v>
                </c:pt>
                <c:pt idx="1">
                  <c:v>Nov'24</c:v>
                </c:pt>
                <c:pt idx="2">
                  <c:v>Dec'24</c:v>
                </c:pt>
                <c:pt idx="3">
                  <c:v>Jan'25</c:v>
                </c:pt>
                <c:pt idx="4">
                  <c:v>Feb'25</c:v>
                </c:pt>
                <c:pt idx="5">
                  <c:v>Mar'25</c:v>
                </c:pt>
                <c:pt idx="6">
                  <c:v>Apr'25</c:v>
                </c:pt>
                <c:pt idx="7">
                  <c:v>May'25</c:v>
                </c:pt>
                <c:pt idx="8">
                  <c:v>Jun'25</c:v>
                </c:pt>
                <c:pt idx="9">
                  <c:v>Jul'25</c:v>
                </c:pt>
                <c:pt idx="10">
                  <c:v>Aug'25</c:v>
                </c:pt>
                <c:pt idx="11">
                  <c:v>Sep'25</c:v>
                </c:pt>
                <c:pt idx="12">
                  <c:v>Oct'25</c:v>
                </c:pt>
                <c:pt idx="13">
                  <c:v>Nov'25</c:v>
                </c:pt>
                <c:pt idx="14">
                  <c:v>Dec'25</c:v>
                </c:pt>
                <c:pt idx="15">
                  <c:v>Jan'26</c:v>
                </c:pt>
                <c:pt idx="16">
                  <c:v>Feb'26</c:v>
                </c:pt>
                <c:pt idx="17">
                  <c:v>Mar'26</c:v>
                </c:pt>
                <c:pt idx="18">
                  <c:v>Apr'26</c:v>
                </c:pt>
                <c:pt idx="19">
                  <c:v>May'26</c:v>
                </c:pt>
                <c:pt idx="20">
                  <c:v>Jun'26</c:v>
                </c:pt>
                <c:pt idx="21">
                  <c:v>Jul'26</c:v>
                </c:pt>
                <c:pt idx="22">
                  <c:v>Aug'26</c:v>
                </c:pt>
                <c:pt idx="23">
                  <c:v>Sep'26</c:v>
                </c:pt>
              </c:strCache>
            </c:strRef>
          </c:cat>
          <c:val>
            <c:numRef>
              <c:f>'State Chart'!$B$6:$Y$6</c:f>
              <c:numCache>
                <c:formatCode>0.00</c:formatCode>
                <c:ptCount val="24"/>
                <c:pt idx="0">
                  <c:v>0.6</c:v>
                </c:pt>
                <c:pt idx="1">
                  <c:v>0.48</c:v>
                </c:pt>
                <c:pt idx="2">
                  <c:v>1.44</c:v>
                </c:pt>
                <c:pt idx="3">
                  <c:v>1.35</c:v>
                </c:pt>
                <c:pt idx="4">
                  <c:v>1.33</c:v>
                </c:pt>
                <c:pt idx="5">
                  <c:v>1.32</c:v>
                </c:pt>
                <c:pt idx="6">
                  <c:v>1.32</c:v>
                </c:pt>
                <c:pt idx="7">
                  <c:v>1.17</c:v>
                </c:pt>
                <c:pt idx="8">
                  <c:v>0.91</c:v>
                </c:pt>
                <c:pt idx="9">
                  <c:v>0.83</c:v>
                </c:pt>
                <c:pt idx="10">
                  <c:v>0.73</c:v>
                </c:pt>
                <c:pt idx="11">
                  <c:v>0.68</c:v>
                </c:pt>
                <c:pt idx="12">
                  <c:v>0.68</c:v>
                </c:pt>
                <c:pt idx="13">
                  <c:v>0.67</c:v>
                </c:pt>
                <c:pt idx="14">
                  <c:v>0.46</c:v>
                </c:pt>
                <c:pt idx="15">
                  <c:v>1.45</c:v>
                </c:pt>
                <c:pt idx="16">
                  <c:v>1.35</c:v>
                </c:pt>
                <c:pt idx="17">
                  <c:v>1.35</c:v>
                </c:pt>
                <c:pt idx="18">
                  <c:v>1.33</c:v>
                </c:pt>
                <c:pt idx="19">
                  <c:v>1.33</c:v>
                </c:pt>
                <c:pt idx="20">
                  <c:v>1.33</c:v>
                </c:pt>
                <c:pt idx="21">
                  <c:v>1.24</c:v>
                </c:pt>
                <c:pt idx="22">
                  <c:v>1.23</c:v>
                </c:pt>
                <c:pt idx="23">
                  <c:v>2.0699999999999998</c:v>
                </c:pt>
              </c:numCache>
            </c:numRef>
          </c:val>
          <c:extLst>
            <c:ext xmlns:c16="http://schemas.microsoft.com/office/drawing/2014/chart" uri="{C3380CC4-5D6E-409C-BE32-E72D297353CC}">
              <c16:uniqueId val="{00000000-084F-408A-BD0F-9EEE1F974413}"/>
            </c:ext>
          </c:extLst>
        </c:ser>
        <c:dLbls>
          <c:showLegendKey val="0"/>
          <c:showVal val="0"/>
          <c:showCatName val="0"/>
          <c:showSerName val="0"/>
          <c:showPercent val="0"/>
          <c:showBubbleSize val="0"/>
        </c:dLbls>
        <c:gapWidth val="150"/>
        <c:axId val="1047518176"/>
        <c:axId val="1"/>
      </c:barChart>
      <c:lineChart>
        <c:grouping val="standard"/>
        <c:varyColors val="0"/>
        <c:ser>
          <c:idx val="0"/>
          <c:order val="1"/>
          <c:tx>
            <c:strRef>
              <c:f>'State Chart'!$A$7</c:f>
              <c:strCache>
                <c:ptCount val="1"/>
                <c:pt idx="0">
                  <c:v>Expenditure Rate</c:v>
                </c:pt>
              </c:strCache>
            </c:strRef>
          </c:tx>
          <c:spPr>
            <a:ln w="25400">
              <a:solidFill>
                <a:srgbClr val="FF0000"/>
              </a:solidFill>
              <a:prstDash val="solid"/>
            </a:ln>
          </c:spPr>
          <c:marker>
            <c:symbol val="diamond"/>
            <c:size val="7"/>
            <c:spPr>
              <a:solidFill>
                <a:srgbClr val="FF0000"/>
              </a:solidFill>
              <a:ln>
                <a:solidFill>
                  <a:srgbClr val="000080"/>
                </a:solidFill>
                <a:prstDash val="solid"/>
              </a:ln>
            </c:spPr>
          </c:marker>
          <c:cat>
            <c:strRef>
              <c:f>'State Chart'!$B$5:$Y$5</c:f>
              <c:strCache>
                <c:ptCount val="24"/>
                <c:pt idx="0">
                  <c:v>Oct'24</c:v>
                </c:pt>
                <c:pt idx="1">
                  <c:v>Nov'24</c:v>
                </c:pt>
                <c:pt idx="2">
                  <c:v>Dec'24</c:v>
                </c:pt>
                <c:pt idx="3">
                  <c:v>Jan'25</c:v>
                </c:pt>
                <c:pt idx="4">
                  <c:v>Feb'25</c:v>
                </c:pt>
                <c:pt idx="5">
                  <c:v>Mar'25</c:v>
                </c:pt>
                <c:pt idx="6">
                  <c:v>Apr'25</c:v>
                </c:pt>
                <c:pt idx="7">
                  <c:v>May'25</c:v>
                </c:pt>
                <c:pt idx="8">
                  <c:v>Jun'25</c:v>
                </c:pt>
                <c:pt idx="9">
                  <c:v>Jul'25</c:v>
                </c:pt>
                <c:pt idx="10">
                  <c:v>Aug'25</c:v>
                </c:pt>
                <c:pt idx="11">
                  <c:v>Sep'25</c:v>
                </c:pt>
                <c:pt idx="12">
                  <c:v>Oct'25</c:v>
                </c:pt>
                <c:pt idx="13">
                  <c:v>Nov'25</c:v>
                </c:pt>
                <c:pt idx="14">
                  <c:v>Dec'25</c:v>
                </c:pt>
                <c:pt idx="15">
                  <c:v>Jan'26</c:v>
                </c:pt>
                <c:pt idx="16">
                  <c:v>Feb'26</c:v>
                </c:pt>
                <c:pt idx="17">
                  <c:v>Mar'26</c:v>
                </c:pt>
                <c:pt idx="18">
                  <c:v>Apr'26</c:v>
                </c:pt>
                <c:pt idx="19">
                  <c:v>May'26</c:v>
                </c:pt>
                <c:pt idx="20">
                  <c:v>Jun'26</c:v>
                </c:pt>
                <c:pt idx="21">
                  <c:v>Jul'26</c:v>
                </c:pt>
                <c:pt idx="22">
                  <c:v>Aug'26</c:v>
                </c:pt>
                <c:pt idx="23">
                  <c:v>Sep'26</c:v>
                </c:pt>
              </c:strCache>
            </c:strRef>
          </c:cat>
          <c:val>
            <c:numRef>
              <c:f>'State Chart'!$B$7:$Y$7</c:f>
              <c:numCache>
                <c:formatCode>0.00</c:formatCode>
                <c:ptCount val="24"/>
                <c:pt idx="0">
                  <c:v>0.92</c:v>
                </c:pt>
                <c:pt idx="1">
                  <c:v>0.92</c:v>
                </c:pt>
                <c:pt idx="2">
                  <c:v>0.92</c:v>
                </c:pt>
                <c:pt idx="3">
                  <c:v>0.98</c:v>
                </c:pt>
                <c:pt idx="4">
                  <c:v>0.77</c:v>
                </c:pt>
                <c:pt idx="5">
                  <c:v>0.68</c:v>
                </c:pt>
                <c:pt idx="6">
                  <c:v>0.68</c:v>
                </c:pt>
                <c:pt idx="7">
                  <c:v>0.65</c:v>
                </c:pt>
                <c:pt idx="8">
                  <c:v>0.89</c:v>
                </c:pt>
                <c:pt idx="9">
                  <c:v>0.93</c:v>
                </c:pt>
                <c:pt idx="10">
                  <c:v>1.03</c:v>
                </c:pt>
                <c:pt idx="11">
                  <c:v>0.95</c:v>
                </c:pt>
                <c:pt idx="12">
                  <c:v>0.9</c:v>
                </c:pt>
                <c:pt idx="13">
                  <c:v>0.8</c:v>
                </c:pt>
                <c:pt idx="14">
                  <c:v>0.98</c:v>
                </c:pt>
                <c:pt idx="15">
                  <c:v>0.89</c:v>
                </c:pt>
                <c:pt idx="16">
                  <c:v>0.97</c:v>
                </c:pt>
                <c:pt idx="17">
                  <c:v>0.96</c:v>
                </c:pt>
                <c:pt idx="18">
                  <c:v>0.96</c:v>
                </c:pt>
                <c:pt idx="19">
                  <c:v>0.83</c:v>
                </c:pt>
                <c:pt idx="20">
                  <c:v>0.57999999999999996</c:v>
                </c:pt>
                <c:pt idx="21">
                  <c:v>0.59</c:v>
                </c:pt>
                <c:pt idx="22">
                  <c:v>0.49</c:v>
                </c:pt>
                <c:pt idx="23">
                  <c:v>0.59</c:v>
                </c:pt>
              </c:numCache>
            </c:numRef>
          </c:val>
          <c:smooth val="0"/>
          <c:extLst>
            <c:ext xmlns:c16="http://schemas.microsoft.com/office/drawing/2014/chart" uri="{C3380CC4-5D6E-409C-BE32-E72D297353CC}">
              <c16:uniqueId val="{00000001-084F-408A-BD0F-9EEE1F974413}"/>
            </c:ext>
          </c:extLst>
        </c:ser>
        <c:dLbls>
          <c:showLegendKey val="0"/>
          <c:showVal val="0"/>
          <c:showCatName val="0"/>
          <c:showSerName val="0"/>
          <c:showPercent val="0"/>
          <c:showBubbleSize val="0"/>
        </c:dLbls>
        <c:marker val="1"/>
        <c:smooth val="0"/>
        <c:axId val="3"/>
        <c:axId val="4"/>
      </c:lineChart>
      <c:catAx>
        <c:axId val="1047518176"/>
        <c:scaling>
          <c:orientation val="minMax"/>
        </c:scaling>
        <c:delete val="0"/>
        <c:axPos val="b"/>
        <c:title>
          <c:tx>
            <c:rich>
              <a:bodyPr/>
              <a:lstStyle/>
              <a:p>
                <a:pPr>
                  <a:defRPr sz="1000" b="0" i="0" u="none" strike="noStrike" baseline="0">
                    <a:solidFill>
                      <a:srgbClr val="000000"/>
                    </a:solidFill>
                    <a:latin typeface="Calibri"/>
                    <a:ea typeface="Calibri"/>
                    <a:cs typeface="Calibri"/>
                  </a:defRPr>
                </a:pPr>
                <a:r>
                  <a:rPr lang="en-US"/>
                  <a:t>Past Two Years</a:t>
                </a:r>
              </a:p>
            </c:rich>
          </c:tx>
          <c:layout>
            <c:manualLayout>
              <c:xMode val="edge"/>
              <c:yMode val="edge"/>
              <c:x val="0.45425907746054528"/>
              <c:y val="0.88581311348620606"/>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Calibri"/>
                <a:ea typeface="Calibri"/>
                <a:cs typeface="Calibri"/>
              </a:defRPr>
            </a:pPr>
            <a:endParaRPr lang="en-US"/>
          </a:p>
        </c:txPr>
        <c:crossAx val="1"/>
        <c:crossesAt val="0"/>
        <c:auto val="0"/>
        <c:lblAlgn val="ctr"/>
        <c:lblOffset val="100"/>
        <c:tickLblSkip val="1"/>
        <c:tickMarkSkip val="1"/>
        <c:noMultiLvlLbl val="0"/>
      </c:catAx>
      <c:valAx>
        <c:axId val="1"/>
        <c:scaling>
          <c:orientation val="minMax"/>
          <c:min val="0"/>
        </c:scaling>
        <c:delete val="0"/>
        <c:axPos val="l"/>
        <c:majorGridlines>
          <c:spPr>
            <a:ln w="3175">
              <a:solidFill>
                <a:srgbClr val="000000"/>
              </a:solidFill>
              <a:prstDash val="sysDash"/>
            </a:ln>
          </c:spPr>
        </c:majorGridlines>
        <c:title>
          <c:tx>
            <c:rich>
              <a:bodyPr/>
              <a:lstStyle/>
              <a:p>
                <a:pPr>
                  <a:defRPr sz="1000" b="0" i="0" u="none" strike="noStrike" baseline="0">
                    <a:solidFill>
                      <a:srgbClr val="000000"/>
                    </a:solidFill>
                    <a:latin typeface="Calibri"/>
                    <a:ea typeface="Calibri"/>
                    <a:cs typeface="Calibri"/>
                  </a:defRPr>
                </a:pPr>
                <a:r>
                  <a:rPr lang="en-US"/>
                  <a:t>Ratios</a:t>
                </a:r>
              </a:p>
            </c:rich>
          </c:tx>
          <c:layout>
            <c:manualLayout>
              <c:xMode val="edge"/>
              <c:yMode val="edge"/>
              <c:x val="1.6824350094673247E-2"/>
              <c:y val="0.44982713367725585"/>
            </c:manualLayout>
          </c:layout>
          <c:overlay val="0"/>
          <c:spPr>
            <a:noFill/>
            <a:ln w="25400">
              <a:noFill/>
            </a:ln>
          </c:spPr>
        </c:title>
        <c:numFmt formatCode="0.00"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Calibri"/>
                <a:ea typeface="Calibri"/>
                <a:cs typeface="Calibri"/>
              </a:defRPr>
            </a:pPr>
            <a:endParaRPr lang="en-US"/>
          </a:p>
        </c:txPr>
        <c:crossAx val="1047518176"/>
        <c:crosses val="autoZero"/>
        <c:crossBetween val="between"/>
        <c:majorUnit val="0.5"/>
        <c:minorUnit val="0.04"/>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0.00" sourceLinked="1"/>
        <c:majorTickMark val="out"/>
        <c:minorTickMark val="none"/>
        <c:tickLblPos val="nextTo"/>
        <c:crossAx val="3"/>
        <c:crosses val="autoZero"/>
        <c:crossBetween val="between"/>
      </c:valAx>
    </c:plotArea>
    <c:legend>
      <c:legendPos val="r"/>
      <c:layout>
        <c:manualLayout>
          <c:xMode val="edge"/>
          <c:yMode val="edge"/>
          <c:x val="0.36996306830633618"/>
          <c:y val="0.92975914666324599"/>
          <c:w val="0.24017980853657339"/>
          <c:h val="4.2163496185891387E-2"/>
        </c:manualLayout>
      </c:layout>
      <c:overlay val="0"/>
      <c:spPr>
        <a:solidFill>
          <a:srgbClr val="FFFFFF"/>
        </a:solidFill>
        <a:ln w="3175">
          <a:solidFill>
            <a:srgbClr val="000000"/>
          </a:solidFill>
          <a:prstDash val="solid"/>
        </a:ln>
      </c:spPr>
      <c:txPr>
        <a:bodyPr/>
        <a:lstStyle/>
        <a:p>
          <a:pPr>
            <a:defRPr sz="60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oddHeader>&amp;A</c:oddHeader>
      <c:oddFooter>Page &amp;P</c:oddFooter>
    </c:headerFooter>
    <c:pageMargins b="1" l="0.75" r="0.75" t="1" header="0.5" footer="0.5"/>
    <c:pageSetup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Calibri"/>
                <a:ea typeface="Calibri"/>
                <a:cs typeface="Calibri"/>
              </a:defRPr>
            </a:pPr>
            <a:r>
              <a:rPr lang="en-US"/>
              <a:t>Comparison of Unexpended Ratio to Annual Expenditure Rate</a:t>
            </a:r>
          </a:p>
        </c:rich>
      </c:tx>
      <c:overlay val="0"/>
      <c:spPr>
        <a:noFill/>
        <a:ln w="25400">
          <a:noFill/>
        </a:ln>
      </c:spPr>
    </c:title>
    <c:autoTitleDeleted val="0"/>
    <c:plotArea>
      <c:layout>
        <c:manualLayout>
          <c:layoutTarget val="inner"/>
          <c:xMode val="edge"/>
          <c:yMode val="edge"/>
          <c:x val="6.8775813188740695E-2"/>
          <c:y val="0.13599707059905389"/>
          <c:w val="0.90098432622121916"/>
          <c:h val="0.60964750196746231"/>
        </c:manualLayout>
      </c:layout>
      <c:barChart>
        <c:barDir val="col"/>
        <c:grouping val="clustered"/>
        <c:varyColors val="0"/>
        <c:ser>
          <c:idx val="1"/>
          <c:order val="0"/>
          <c:tx>
            <c:strRef>
              <c:f>'State Chart'!$A$6</c:f>
              <c:strCache>
                <c:ptCount val="1"/>
                <c:pt idx="0">
                  <c:v>Unexpended Ratio</c:v>
                </c:pt>
              </c:strCache>
            </c:strRef>
          </c:tx>
          <c:spPr>
            <a:solidFill>
              <a:srgbClr val="00FF00"/>
            </a:solidFill>
            <a:ln w="12700">
              <a:solidFill>
                <a:srgbClr val="000000"/>
              </a:solidFill>
              <a:prstDash val="solid"/>
            </a:ln>
          </c:spPr>
          <c:invertIfNegative val="0"/>
          <c:cat>
            <c:strRef>
              <c:f>'State Chart'!$B$5:$Y$5</c:f>
              <c:strCache>
                <c:ptCount val="24"/>
                <c:pt idx="0">
                  <c:v>Oct'24</c:v>
                </c:pt>
                <c:pt idx="1">
                  <c:v>Nov'24</c:v>
                </c:pt>
                <c:pt idx="2">
                  <c:v>Dec'24</c:v>
                </c:pt>
                <c:pt idx="3">
                  <c:v>Jan'25</c:v>
                </c:pt>
                <c:pt idx="4">
                  <c:v>Feb'25</c:v>
                </c:pt>
                <c:pt idx="5">
                  <c:v>Mar'25</c:v>
                </c:pt>
                <c:pt idx="6">
                  <c:v>Apr'25</c:v>
                </c:pt>
                <c:pt idx="7">
                  <c:v>May'25</c:v>
                </c:pt>
                <c:pt idx="8">
                  <c:v>Jun'25</c:v>
                </c:pt>
                <c:pt idx="9">
                  <c:v>Jul'25</c:v>
                </c:pt>
                <c:pt idx="10">
                  <c:v>Aug'25</c:v>
                </c:pt>
                <c:pt idx="11">
                  <c:v>Sep'25</c:v>
                </c:pt>
                <c:pt idx="12">
                  <c:v>Oct'25</c:v>
                </c:pt>
                <c:pt idx="13">
                  <c:v>Nov'25</c:v>
                </c:pt>
                <c:pt idx="14">
                  <c:v>Dec'25</c:v>
                </c:pt>
                <c:pt idx="15">
                  <c:v>Jan'26</c:v>
                </c:pt>
                <c:pt idx="16">
                  <c:v>Feb'26</c:v>
                </c:pt>
                <c:pt idx="17">
                  <c:v>Mar'26</c:v>
                </c:pt>
                <c:pt idx="18">
                  <c:v>Apr'26</c:v>
                </c:pt>
                <c:pt idx="19">
                  <c:v>May'26</c:v>
                </c:pt>
                <c:pt idx="20">
                  <c:v>Jun'26</c:v>
                </c:pt>
                <c:pt idx="21">
                  <c:v>Jul'26</c:v>
                </c:pt>
                <c:pt idx="22">
                  <c:v>Aug'26</c:v>
                </c:pt>
                <c:pt idx="23">
                  <c:v>Sep'26</c:v>
                </c:pt>
              </c:strCache>
            </c:strRef>
          </c:cat>
          <c:val>
            <c:numRef>
              <c:f>'State Chart'!$B$6:$Y$6</c:f>
              <c:numCache>
                <c:formatCode>0.00</c:formatCode>
                <c:ptCount val="24"/>
                <c:pt idx="0">
                  <c:v>0.6</c:v>
                </c:pt>
                <c:pt idx="1">
                  <c:v>0.48</c:v>
                </c:pt>
                <c:pt idx="2">
                  <c:v>1.44</c:v>
                </c:pt>
                <c:pt idx="3">
                  <c:v>1.35</c:v>
                </c:pt>
                <c:pt idx="4">
                  <c:v>1.33</c:v>
                </c:pt>
                <c:pt idx="5">
                  <c:v>1.32</c:v>
                </c:pt>
                <c:pt idx="6">
                  <c:v>1.32</c:v>
                </c:pt>
                <c:pt idx="7">
                  <c:v>1.17</c:v>
                </c:pt>
                <c:pt idx="8">
                  <c:v>0.91</c:v>
                </c:pt>
                <c:pt idx="9">
                  <c:v>0.83</c:v>
                </c:pt>
                <c:pt idx="10">
                  <c:v>0.73</c:v>
                </c:pt>
                <c:pt idx="11">
                  <c:v>0.68</c:v>
                </c:pt>
                <c:pt idx="12">
                  <c:v>0.68</c:v>
                </c:pt>
                <c:pt idx="13">
                  <c:v>0.67</c:v>
                </c:pt>
                <c:pt idx="14">
                  <c:v>0.46</c:v>
                </c:pt>
                <c:pt idx="15">
                  <c:v>1.45</c:v>
                </c:pt>
                <c:pt idx="16">
                  <c:v>1.35</c:v>
                </c:pt>
                <c:pt idx="17">
                  <c:v>1.35</c:v>
                </c:pt>
                <c:pt idx="18">
                  <c:v>1.33</c:v>
                </c:pt>
                <c:pt idx="19">
                  <c:v>1.33</c:v>
                </c:pt>
                <c:pt idx="20">
                  <c:v>1.33</c:v>
                </c:pt>
                <c:pt idx="21">
                  <c:v>1.24</c:v>
                </c:pt>
                <c:pt idx="22">
                  <c:v>1.23</c:v>
                </c:pt>
                <c:pt idx="23">
                  <c:v>2.0699999999999998</c:v>
                </c:pt>
              </c:numCache>
            </c:numRef>
          </c:val>
          <c:extLst>
            <c:ext xmlns:c16="http://schemas.microsoft.com/office/drawing/2014/chart" uri="{C3380CC4-5D6E-409C-BE32-E72D297353CC}">
              <c16:uniqueId val="{00000000-0CED-48F6-9006-8D498D89EA9C}"/>
            </c:ext>
          </c:extLst>
        </c:ser>
        <c:dLbls>
          <c:showLegendKey val="0"/>
          <c:showVal val="0"/>
          <c:showCatName val="0"/>
          <c:showSerName val="0"/>
          <c:showPercent val="0"/>
          <c:showBubbleSize val="0"/>
        </c:dLbls>
        <c:gapWidth val="150"/>
        <c:axId val="1047517248"/>
        <c:axId val="1"/>
      </c:barChart>
      <c:lineChart>
        <c:grouping val="standard"/>
        <c:varyColors val="0"/>
        <c:ser>
          <c:idx val="0"/>
          <c:order val="1"/>
          <c:tx>
            <c:strRef>
              <c:f>'State Chart'!$A$7</c:f>
              <c:strCache>
                <c:ptCount val="1"/>
                <c:pt idx="0">
                  <c:v>Expenditure Rate</c:v>
                </c:pt>
              </c:strCache>
            </c:strRef>
          </c:tx>
          <c:spPr>
            <a:ln w="25400">
              <a:solidFill>
                <a:srgbClr val="FF0000"/>
              </a:solidFill>
              <a:prstDash val="solid"/>
            </a:ln>
          </c:spPr>
          <c:marker>
            <c:symbol val="diamond"/>
            <c:size val="7"/>
            <c:spPr>
              <a:solidFill>
                <a:srgbClr val="FF0000"/>
              </a:solidFill>
              <a:ln>
                <a:solidFill>
                  <a:srgbClr val="000080"/>
                </a:solidFill>
                <a:prstDash val="solid"/>
              </a:ln>
            </c:spPr>
          </c:marker>
          <c:cat>
            <c:strRef>
              <c:f>'State Chart'!$B$5:$Y$5</c:f>
              <c:strCache>
                <c:ptCount val="24"/>
                <c:pt idx="0">
                  <c:v>Oct'24</c:v>
                </c:pt>
                <c:pt idx="1">
                  <c:v>Nov'24</c:v>
                </c:pt>
                <c:pt idx="2">
                  <c:v>Dec'24</c:v>
                </c:pt>
                <c:pt idx="3">
                  <c:v>Jan'25</c:v>
                </c:pt>
                <c:pt idx="4">
                  <c:v>Feb'25</c:v>
                </c:pt>
                <c:pt idx="5">
                  <c:v>Mar'25</c:v>
                </c:pt>
                <c:pt idx="6">
                  <c:v>Apr'25</c:v>
                </c:pt>
                <c:pt idx="7">
                  <c:v>May'25</c:v>
                </c:pt>
                <c:pt idx="8">
                  <c:v>Jun'25</c:v>
                </c:pt>
                <c:pt idx="9">
                  <c:v>Jul'25</c:v>
                </c:pt>
                <c:pt idx="10">
                  <c:v>Aug'25</c:v>
                </c:pt>
                <c:pt idx="11">
                  <c:v>Sep'25</c:v>
                </c:pt>
                <c:pt idx="12">
                  <c:v>Oct'25</c:v>
                </c:pt>
                <c:pt idx="13">
                  <c:v>Nov'25</c:v>
                </c:pt>
                <c:pt idx="14">
                  <c:v>Dec'25</c:v>
                </c:pt>
                <c:pt idx="15">
                  <c:v>Jan'26</c:v>
                </c:pt>
                <c:pt idx="16">
                  <c:v>Feb'26</c:v>
                </c:pt>
                <c:pt idx="17">
                  <c:v>Mar'26</c:v>
                </c:pt>
                <c:pt idx="18">
                  <c:v>Apr'26</c:v>
                </c:pt>
                <c:pt idx="19">
                  <c:v>May'26</c:v>
                </c:pt>
                <c:pt idx="20">
                  <c:v>Jun'26</c:v>
                </c:pt>
                <c:pt idx="21">
                  <c:v>Jul'26</c:v>
                </c:pt>
                <c:pt idx="22">
                  <c:v>Aug'26</c:v>
                </c:pt>
                <c:pt idx="23">
                  <c:v>Sep'26</c:v>
                </c:pt>
              </c:strCache>
            </c:strRef>
          </c:cat>
          <c:val>
            <c:numRef>
              <c:f>'State Chart'!$B$7:$Y$7</c:f>
              <c:numCache>
                <c:formatCode>0.00</c:formatCode>
                <c:ptCount val="24"/>
                <c:pt idx="0">
                  <c:v>0.92</c:v>
                </c:pt>
                <c:pt idx="1">
                  <c:v>0.92</c:v>
                </c:pt>
                <c:pt idx="2">
                  <c:v>0.92</c:v>
                </c:pt>
                <c:pt idx="3">
                  <c:v>0.98</c:v>
                </c:pt>
                <c:pt idx="4">
                  <c:v>0.77</c:v>
                </c:pt>
                <c:pt idx="5">
                  <c:v>0.68</c:v>
                </c:pt>
                <c:pt idx="6">
                  <c:v>0.68</c:v>
                </c:pt>
                <c:pt idx="7">
                  <c:v>0.65</c:v>
                </c:pt>
                <c:pt idx="8">
                  <c:v>0.89</c:v>
                </c:pt>
                <c:pt idx="9">
                  <c:v>0.93</c:v>
                </c:pt>
                <c:pt idx="10">
                  <c:v>1.03</c:v>
                </c:pt>
                <c:pt idx="11">
                  <c:v>0.95</c:v>
                </c:pt>
                <c:pt idx="12">
                  <c:v>0.9</c:v>
                </c:pt>
                <c:pt idx="13">
                  <c:v>0.8</c:v>
                </c:pt>
                <c:pt idx="14">
                  <c:v>0.98</c:v>
                </c:pt>
                <c:pt idx="15">
                  <c:v>0.89</c:v>
                </c:pt>
                <c:pt idx="16">
                  <c:v>0.97</c:v>
                </c:pt>
                <c:pt idx="17">
                  <c:v>0.96</c:v>
                </c:pt>
                <c:pt idx="18">
                  <c:v>0.96</c:v>
                </c:pt>
                <c:pt idx="19">
                  <c:v>0.83</c:v>
                </c:pt>
                <c:pt idx="20">
                  <c:v>0.57999999999999996</c:v>
                </c:pt>
                <c:pt idx="21">
                  <c:v>0.59</c:v>
                </c:pt>
                <c:pt idx="22">
                  <c:v>0.49</c:v>
                </c:pt>
                <c:pt idx="23">
                  <c:v>0.59</c:v>
                </c:pt>
              </c:numCache>
            </c:numRef>
          </c:val>
          <c:smooth val="0"/>
          <c:extLst>
            <c:ext xmlns:c16="http://schemas.microsoft.com/office/drawing/2014/chart" uri="{C3380CC4-5D6E-409C-BE32-E72D297353CC}">
              <c16:uniqueId val="{00000001-0CED-48F6-9006-8D498D89EA9C}"/>
            </c:ext>
          </c:extLst>
        </c:ser>
        <c:dLbls>
          <c:showLegendKey val="0"/>
          <c:showVal val="0"/>
          <c:showCatName val="0"/>
          <c:showSerName val="0"/>
          <c:showPercent val="0"/>
          <c:showBubbleSize val="0"/>
        </c:dLbls>
        <c:marker val="1"/>
        <c:smooth val="0"/>
        <c:axId val="3"/>
        <c:axId val="4"/>
      </c:lineChart>
      <c:catAx>
        <c:axId val="1047517248"/>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Calibri"/>
                <a:ea typeface="Calibri"/>
                <a:cs typeface="Calibri"/>
              </a:defRPr>
            </a:pPr>
            <a:endParaRPr lang="en-US"/>
          </a:p>
        </c:txPr>
        <c:crossAx val="1"/>
        <c:crossesAt val="0"/>
        <c:auto val="0"/>
        <c:lblAlgn val="ctr"/>
        <c:lblOffset val="100"/>
        <c:tickLblSkip val="1"/>
        <c:tickMarkSkip val="1"/>
        <c:noMultiLvlLbl val="0"/>
      </c:catAx>
      <c:valAx>
        <c:axId val="1"/>
        <c:scaling>
          <c:orientation val="minMax"/>
          <c:min val="0"/>
        </c:scaling>
        <c:delete val="0"/>
        <c:axPos val="l"/>
        <c:majorGridlines>
          <c:spPr>
            <a:ln w="3175">
              <a:solidFill>
                <a:srgbClr val="000000">
                  <a:alpha val="50000"/>
                </a:srgbClr>
              </a:solidFill>
              <a:prstDash val="sysDash"/>
            </a:ln>
          </c:spPr>
        </c:majorGridlines>
        <c:numFmt formatCode="0.00"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47517248"/>
        <c:crosses val="autoZero"/>
        <c:crossBetween val="between"/>
        <c:majorUnit val="0.5"/>
        <c:minorUnit val="0.04"/>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0.00" sourceLinked="1"/>
        <c:majorTickMark val="out"/>
        <c:minorTickMark val="none"/>
        <c:tickLblPos val="nextTo"/>
        <c:crossAx val="3"/>
        <c:crosses val="autoZero"/>
        <c:crossBetween val="between"/>
      </c:valAx>
      <c:spPr>
        <a:solidFill>
          <a:srgbClr val="FFFFFF"/>
        </a:solidFill>
        <a:ln w="3175">
          <a:solidFill>
            <a:srgbClr val="000000"/>
          </a:solidFill>
          <a:prstDash val="solid"/>
        </a:ln>
      </c:spPr>
    </c:plotArea>
    <c:legend>
      <c:legendPos val="r"/>
      <c:layout>
        <c:manualLayout>
          <c:xMode val="edge"/>
          <c:yMode val="edge"/>
          <c:x val="0.33205460113102025"/>
          <c:y val="0.88574197839063695"/>
          <c:w val="0.3381321395876612"/>
          <c:h val="6.7349044439841063E-2"/>
        </c:manualLayout>
      </c:layout>
      <c:overlay val="0"/>
      <c:spPr>
        <a:solidFill>
          <a:srgbClr val="FFFFFF"/>
        </a:solidFill>
        <a:ln w="3175">
          <a:solidFill>
            <a:srgbClr val="000000"/>
          </a:solidFill>
          <a:prstDash val="solid"/>
        </a:ln>
      </c:spPr>
      <c:txPr>
        <a:bodyPr/>
        <a:lstStyle/>
        <a:p>
          <a:pPr>
            <a:defRPr sz="60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vmlDrawing26.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38100</xdr:colOff>
      <xdr:row>9</xdr:row>
      <xdr:rowOff>114300</xdr:rowOff>
    </xdr:from>
    <xdr:to>
      <xdr:col>25</xdr:col>
      <xdr:colOff>628650</xdr:colOff>
      <xdr:row>42</xdr:row>
      <xdr:rowOff>88900</xdr:rowOff>
    </xdr:to>
    <xdr:graphicFrame macro="">
      <xdr:nvGraphicFramePr>
        <xdr:cNvPr id="3516553" name="Chart 1">
          <a:extLst>
            <a:ext uri="{FF2B5EF4-FFF2-40B4-BE49-F238E27FC236}">
              <a16:creationId xmlns:a16="http://schemas.microsoft.com/office/drawing/2014/main" id="{C2933988-90BF-2FD6-359E-3D5A904326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0</xdr:col>
          <xdr:colOff>361950</xdr:colOff>
          <xdr:row>55</xdr:row>
          <xdr:rowOff>133350</xdr:rowOff>
        </xdr:from>
        <xdr:to>
          <xdr:col>4</xdr:col>
          <xdr:colOff>393700</xdr:colOff>
          <xdr:row>61</xdr:row>
          <xdr:rowOff>133350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3FF73675-D1C1-0A33-FF76-1F814556E0E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2.xml><?xml version="1.0" encoding="utf-8"?>
<c:userShapes xmlns:c="http://schemas.openxmlformats.org/drawingml/2006/chart">
  <cdr:relSizeAnchor xmlns:cdr="http://schemas.openxmlformats.org/drawingml/2006/chartDrawing">
    <cdr:from>
      <cdr:x>0.0005</cdr:x>
      <cdr:y>0.00147</cdr:y>
    </cdr:from>
    <cdr:to>
      <cdr:x>0.0005</cdr:x>
      <cdr:y>0.00147</cdr:y>
    </cdr:to>
    <cdr:sp macro="" textlink="">
      <cdr:nvSpPr>
        <cdr:cNvPr id="3075" name="Line 3"/>
        <cdr:cNvSpPr>
          <a:spLocks xmlns:a="http://schemas.openxmlformats.org/drawingml/2006/main" noChangeShapeType="1"/>
        </cdr:cNvSpPr>
      </cdr:nvSpPr>
      <cdr:spPr bwMode="auto">
        <a:xfrm xmlns:a="http://schemas.openxmlformats.org/drawingml/2006/main">
          <a:off x="0" y="0"/>
          <a:ext cx="0" cy="0"/>
        </a:xfrm>
        <a:prstGeom xmlns:a="http://schemas.openxmlformats.org/drawingml/2006/main" prst="line">
          <a:avLst/>
        </a:prstGeom>
        <a:noFill xmlns:a="http://schemas.openxmlformats.org/drawingml/2006/main"/>
        <a:ln xmlns:a="http://schemas.openxmlformats.org/drawingml/2006/main" w="15875">
          <a:solidFill>
            <a:schemeClr val="accent1"/>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0.0005</cdr:x>
      <cdr:y>0.00147</cdr:y>
    </cdr:from>
    <cdr:to>
      <cdr:x>0.0005</cdr:x>
      <cdr:y>0.00147</cdr:y>
    </cdr:to>
    <cdr:sp macro="" textlink="">
      <cdr:nvSpPr>
        <cdr:cNvPr id="5" name="Line 1"/>
        <cdr:cNvSpPr>
          <a:spLocks xmlns:a="http://schemas.openxmlformats.org/drawingml/2006/main" noChangeShapeType="1"/>
        </cdr:cNvSpPr>
      </cdr:nvSpPr>
      <cdr:spPr bwMode="auto">
        <a:xfrm xmlns:a="http://schemas.openxmlformats.org/drawingml/2006/main">
          <a:off x="-438150" y="-2171700"/>
          <a:ext cx="0" cy="0"/>
        </a:xfrm>
        <a:prstGeom xmlns:a="http://schemas.openxmlformats.org/drawingml/2006/main" prst="line">
          <a:avLst/>
        </a:prstGeom>
        <a:noFill xmlns:a="http://schemas.openxmlformats.org/drawingml/2006/main"/>
        <a:ln xmlns:a="http://schemas.openxmlformats.org/drawingml/2006/main" w="15875">
          <a:solidFill>
            <a:srgbClr val="4F81BD"/>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0.83442</cdr:x>
      <cdr:y>0.23196</cdr:y>
    </cdr:from>
    <cdr:to>
      <cdr:x>0.83472</cdr:x>
      <cdr:y>0.41413</cdr:y>
    </cdr:to>
    <cdr:sp macro="" textlink="">
      <cdr:nvSpPr>
        <cdr:cNvPr id="14" name="Line 2"/>
        <cdr:cNvSpPr>
          <a:spLocks xmlns:a="http://schemas.openxmlformats.org/drawingml/2006/main" noChangeShapeType="1"/>
        </cdr:cNvSpPr>
      </cdr:nvSpPr>
      <cdr:spPr bwMode="auto">
        <a:xfrm xmlns:a="http://schemas.openxmlformats.org/drawingml/2006/main" flipV="1">
          <a:off x="10607979" y="300103"/>
          <a:ext cx="13048" cy="4097053"/>
        </a:xfrm>
        <a:prstGeom xmlns:a="http://schemas.openxmlformats.org/drawingml/2006/main" prst="line">
          <a:avLst/>
        </a:prstGeom>
        <a:noFill xmlns:a="http://schemas.openxmlformats.org/drawingml/2006/main"/>
        <a:ln xmlns:a="http://schemas.openxmlformats.org/drawingml/2006/main" w="15875" cap="rnd">
          <a:solidFill>
            <a:srgbClr val="4F81BD"/>
          </a:solidFill>
          <a:prstDash val="sysDash"/>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82550</xdr:colOff>
      <xdr:row>28</xdr:row>
      <xdr:rowOff>177800</xdr:rowOff>
    </xdr:from>
    <xdr:to>
      <xdr:col>26</xdr:col>
      <xdr:colOff>330200</xdr:colOff>
      <xdr:row>60</xdr:row>
      <xdr:rowOff>158750</xdr:rowOff>
    </xdr:to>
    <xdr:graphicFrame macro="">
      <xdr:nvGraphicFramePr>
        <xdr:cNvPr id="3518738" name="Chart 1">
          <a:extLst>
            <a:ext uri="{FF2B5EF4-FFF2-40B4-BE49-F238E27FC236}">
              <a16:creationId xmlns:a16="http://schemas.microsoft.com/office/drawing/2014/main" id="{2184B3B0-CB88-71C7-9133-70687029D4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120650</xdr:colOff>
      <xdr:row>7</xdr:row>
      <xdr:rowOff>95250</xdr:rowOff>
    </xdr:from>
    <xdr:to>
      <xdr:col>26</xdr:col>
      <xdr:colOff>69850</xdr:colOff>
      <xdr:row>24</xdr:row>
      <xdr:rowOff>76200</xdr:rowOff>
    </xdr:to>
    <xdr:graphicFrame macro="">
      <xdr:nvGraphicFramePr>
        <xdr:cNvPr id="3518739" name="Chart 2">
          <a:extLst>
            <a:ext uri="{FF2B5EF4-FFF2-40B4-BE49-F238E27FC236}">
              <a16:creationId xmlns:a16="http://schemas.microsoft.com/office/drawing/2014/main" id="{8C13F36B-1A10-C2BA-3F7E-E6416678C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0.0668</cdr:x>
      <cdr:y>0.58653</cdr:y>
    </cdr:from>
    <cdr:to>
      <cdr:x>0.95236</cdr:x>
      <cdr:y>0.58778</cdr:y>
    </cdr:to>
    <cdr:sp macro="" textlink="">
      <cdr:nvSpPr>
        <cdr:cNvPr id="5121" name="Line 1"/>
        <cdr:cNvSpPr>
          <a:spLocks xmlns:a="http://schemas.openxmlformats.org/drawingml/2006/main" noChangeShapeType="1"/>
        </cdr:cNvSpPr>
      </cdr:nvSpPr>
      <cdr:spPr bwMode="auto">
        <a:xfrm xmlns:a="http://schemas.openxmlformats.org/drawingml/2006/main" flipV="1">
          <a:off x="773345" y="3738073"/>
          <a:ext cx="9861720" cy="1663"/>
        </a:xfrm>
        <a:prstGeom xmlns:a="http://schemas.openxmlformats.org/drawingml/2006/main" prst="line">
          <a:avLst/>
        </a:prstGeom>
        <a:noFill xmlns:a="http://schemas.openxmlformats.org/drawingml/2006/main"/>
        <a:ln xmlns:a="http://schemas.openxmlformats.org/drawingml/2006/main" w="9525">
          <a:solidFill>
            <a:srgbClr val="0066CC"/>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0.06784</cdr:x>
      <cdr:y>0.28575</cdr:y>
    </cdr:from>
    <cdr:to>
      <cdr:x>0.96264</cdr:x>
      <cdr:y>0.2894</cdr:y>
    </cdr:to>
    <cdr:sp macro="" textlink="">
      <cdr:nvSpPr>
        <cdr:cNvPr id="5122" name="Line 2"/>
        <cdr:cNvSpPr>
          <a:spLocks xmlns:a="http://schemas.openxmlformats.org/drawingml/2006/main" noChangeShapeType="1"/>
        </cdr:cNvSpPr>
      </cdr:nvSpPr>
      <cdr:spPr bwMode="auto">
        <a:xfrm xmlns:a="http://schemas.openxmlformats.org/drawingml/2006/main" flipV="1">
          <a:off x="782228" y="1837418"/>
          <a:ext cx="9948366" cy="13297"/>
        </a:xfrm>
        <a:prstGeom xmlns:a="http://schemas.openxmlformats.org/drawingml/2006/main" prst="line">
          <a:avLst/>
        </a:prstGeom>
        <a:noFill xmlns:a="http://schemas.openxmlformats.org/drawingml/2006/main"/>
        <a:ln xmlns:a="http://schemas.openxmlformats.org/drawingml/2006/main" w="19050">
          <a:solidFill>
            <a:schemeClr val="accent6">
              <a:lumMod val="75000"/>
            </a:schemeClr>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userShapes>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12700</xdr:colOff>
          <xdr:row>1</xdr:row>
          <xdr:rowOff>285750</xdr:rowOff>
        </xdr:from>
        <xdr:to>
          <xdr:col>12</xdr:col>
          <xdr:colOff>0</xdr:colOff>
          <xdr:row>1</xdr:row>
          <xdr:rowOff>546100</xdr:rowOff>
        </xdr:to>
        <xdr:sp macro="" textlink="">
          <xdr:nvSpPr>
            <xdr:cNvPr id="113670" name="Button 6" hidden="1">
              <a:extLst>
                <a:ext uri="{63B3BB69-23CF-44E3-9099-C40C66FF867C}">
                  <a14:compatExt spid="_x0000_s113670"/>
                </a:ext>
                <a:ext uri="{FF2B5EF4-FFF2-40B4-BE49-F238E27FC236}">
                  <a16:creationId xmlns:a16="http://schemas.microsoft.com/office/drawing/2014/main" id="{CCF8AD75-5A65-ED21-99BF-7D585B6622D7}"/>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000" b="1" i="1" u="none" strike="noStrike" baseline="0">
                  <a:solidFill>
                    <a:srgbClr val="339966"/>
                  </a:solidFill>
                  <a:latin typeface="Arial"/>
                  <a:cs typeface="Arial"/>
                </a:rPr>
                <a:t>SORT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H23545\Local%20Settings\Temporary%20Internet%20Files\Content.Outlook\A77F7K2F\Expend%20Rank%20Apr'09%20draft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t'08"/>
      <sheetName val="Nov'08"/>
      <sheetName val="Dec'08"/>
      <sheetName val="Jan'09"/>
      <sheetName val="Feb'09"/>
      <sheetName val="Mar'09"/>
      <sheetName val="Apr'09"/>
      <sheetName val="US"/>
      <sheetName val="Chart1"/>
      <sheetName val="Rankings"/>
      <sheetName val="col descrip"/>
      <sheetName val="tables"/>
      <sheetName val="States by Mo"/>
      <sheetName val="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
          <cell r="A2" t="str">
            <v>ALABAMA</v>
          </cell>
          <cell r="B2" t="str">
            <v>AL</v>
          </cell>
          <cell r="C2" t="str">
            <v>01</v>
          </cell>
          <cell r="D2" t="str">
            <v>Apr</v>
          </cell>
          <cell r="E2">
            <v>39904</v>
          </cell>
          <cell r="F2">
            <v>39904</v>
          </cell>
        </row>
        <row r="3">
          <cell r="A3" t="str">
            <v>ALASKA</v>
          </cell>
          <cell r="B3" t="str">
            <v>AK</v>
          </cell>
          <cell r="C3" t="str">
            <v>02</v>
          </cell>
          <cell r="D3" t="str">
            <v>Jul</v>
          </cell>
          <cell r="E3">
            <v>39995</v>
          </cell>
          <cell r="F3">
            <v>39630</v>
          </cell>
        </row>
        <row r="4">
          <cell r="A4" t="str">
            <v>ARIZONA</v>
          </cell>
          <cell r="B4" t="str">
            <v>AZ</v>
          </cell>
          <cell r="C4" t="str">
            <v>04</v>
          </cell>
          <cell r="D4" t="str">
            <v>Jul</v>
          </cell>
          <cell r="E4">
            <v>39995</v>
          </cell>
          <cell r="F4">
            <v>39630</v>
          </cell>
        </row>
        <row r="5">
          <cell r="A5" t="str">
            <v>ARKANSAS</v>
          </cell>
          <cell r="B5" t="str">
            <v>AR</v>
          </cell>
          <cell r="C5" t="str">
            <v>05</v>
          </cell>
          <cell r="D5" t="str">
            <v>Jul</v>
          </cell>
          <cell r="E5">
            <v>39995</v>
          </cell>
          <cell r="F5">
            <v>39630</v>
          </cell>
        </row>
        <row r="6">
          <cell r="A6" t="str">
            <v>CALIFORNIA</v>
          </cell>
          <cell r="B6" t="str">
            <v>CA</v>
          </cell>
          <cell r="C6" t="str">
            <v>06</v>
          </cell>
          <cell r="D6" t="str">
            <v>Jul</v>
          </cell>
          <cell r="E6">
            <v>39995</v>
          </cell>
          <cell r="F6">
            <v>39630</v>
          </cell>
        </row>
        <row r="7">
          <cell r="A7" t="str">
            <v>COLORADO</v>
          </cell>
          <cell r="B7" t="str">
            <v>CO</v>
          </cell>
          <cell r="C7" t="str">
            <v>08</v>
          </cell>
          <cell r="D7" t="str">
            <v>Apr</v>
          </cell>
          <cell r="E7">
            <v>39904</v>
          </cell>
          <cell r="F7">
            <v>39904</v>
          </cell>
        </row>
        <row r="8">
          <cell r="A8" t="str">
            <v>CONNECTICUT</v>
          </cell>
          <cell r="B8" t="str">
            <v>CT</v>
          </cell>
          <cell r="C8" t="str">
            <v>09</v>
          </cell>
          <cell r="D8" t="str">
            <v>Jul</v>
          </cell>
          <cell r="E8">
            <v>39995</v>
          </cell>
          <cell r="F8">
            <v>39630</v>
          </cell>
        </row>
        <row r="9">
          <cell r="A9" t="str">
            <v>DELAWARE</v>
          </cell>
          <cell r="B9" t="str">
            <v>DE</v>
          </cell>
          <cell r="C9" t="str">
            <v>10</v>
          </cell>
          <cell r="D9" t="str">
            <v>Jul</v>
          </cell>
          <cell r="E9">
            <v>39995</v>
          </cell>
          <cell r="F9">
            <v>39630</v>
          </cell>
        </row>
        <row r="10">
          <cell r="A10" t="str">
            <v>FLORIDA</v>
          </cell>
          <cell r="B10" t="str">
            <v>FL</v>
          </cell>
          <cell r="C10" t="str">
            <v>12</v>
          </cell>
          <cell r="D10" t="str">
            <v>Jul</v>
          </cell>
          <cell r="E10">
            <v>39995</v>
          </cell>
          <cell r="F10">
            <v>39630</v>
          </cell>
        </row>
        <row r="11">
          <cell r="A11" t="str">
            <v>GEORGIA</v>
          </cell>
          <cell r="B11" t="str">
            <v>GA</v>
          </cell>
          <cell r="C11" t="str">
            <v>13</v>
          </cell>
          <cell r="D11" t="str">
            <v>Jul</v>
          </cell>
          <cell r="E11">
            <v>39995</v>
          </cell>
          <cell r="F11">
            <v>39630</v>
          </cell>
        </row>
        <row r="12">
          <cell r="A12" t="str">
            <v>IDAHO</v>
          </cell>
          <cell r="B12" t="str">
            <v>ID</v>
          </cell>
          <cell r="C12">
            <v>16</v>
          </cell>
          <cell r="D12" t="str">
            <v>Apr</v>
          </cell>
          <cell r="E12">
            <v>39904</v>
          </cell>
          <cell r="F12">
            <v>39904</v>
          </cell>
        </row>
        <row r="13">
          <cell r="A13" t="str">
            <v>ILLINOIS</v>
          </cell>
          <cell r="B13" t="str">
            <v>IL</v>
          </cell>
          <cell r="C13" t="str">
            <v>17</v>
          </cell>
          <cell r="D13" t="str">
            <v>Jan</v>
          </cell>
          <cell r="E13">
            <v>39814</v>
          </cell>
          <cell r="F13">
            <v>39814</v>
          </cell>
        </row>
        <row r="14">
          <cell r="A14" t="str">
            <v>INDIANA</v>
          </cell>
          <cell r="B14" t="str">
            <v>IN</v>
          </cell>
          <cell r="C14" t="str">
            <v>18</v>
          </cell>
          <cell r="D14" t="str">
            <v>Jul</v>
          </cell>
          <cell r="E14">
            <v>39995</v>
          </cell>
          <cell r="F14">
            <v>39630</v>
          </cell>
        </row>
        <row r="15">
          <cell r="A15" t="str">
            <v>IOWA</v>
          </cell>
          <cell r="B15" t="str">
            <v>IA</v>
          </cell>
          <cell r="C15" t="str">
            <v>19</v>
          </cell>
          <cell r="D15" t="str">
            <v>Jan</v>
          </cell>
          <cell r="E15">
            <v>39814</v>
          </cell>
          <cell r="F15">
            <v>39814</v>
          </cell>
        </row>
        <row r="16">
          <cell r="A16" t="str">
            <v>KANSAS</v>
          </cell>
          <cell r="B16" t="str">
            <v>KS</v>
          </cell>
          <cell r="C16" t="str">
            <v>20</v>
          </cell>
          <cell r="D16" t="str">
            <v>Jan</v>
          </cell>
          <cell r="E16">
            <v>39814</v>
          </cell>
          <cell r="F16">
            <v>39814</v>
          </cell>
        </row>
        <row r="17">
          <cell r="A17" t="str">
            <v>KENTUCKY</v>
          </cell>
          <cell r="B17" t="str">
            <v>KY</v>
          </cell>
          <cell r="C17" t="str">
            <v>21</v>
          </cell>
          <cell r="D17" t="str">
            <v>Jul</v>
          </cell>
          <cell r="E17">
            <v>39995</v>
          </cell>
          <cell r="F17">
            <v>39630</v>
          </cell>
        </row>
        <row r="18">
          <cell r="A18" t="str">
            <v>LOUISIANA</v>
          </cell>
          <cell r="B18" t="str">
            <v>LA</v>
          </cell>
          <cell r="C18" t="str">
            <v>22</v>
          </cell>
          <cell r="D18" t="str">
            <v>Apr</v>
          </cell>
          <cell r="E18">
            <v>39904</v>
          </cell>
          <cell r="F18">
            <v>39904</v>
          </cell>
        </row>
        <row r="19">
          <cell r="A19" t="str">
            <v>MAINE</v>
          </cell>
          <cell r="B19" t="str">
            <v>ME</v>
          </cell>
          <cell r="C19" t="str">
            <v>23</v>
          </cell>
          <cell r="D19" t="str">
            <v>Jan</v>
          </cell>
          <cell r="E19">
            <v>39814</v>
          </cell>
          <cell r="F19">
            <v>39814</v>
          </cell>
        </row>
        <row r="20">
          <cell r="A20" t="str">
            <v>MARYLAND</v>
          </cell>
          <cell r="B20" t="str">
            <v>MD</v>
          </cell>
          <cell r="C20" t="str">
            <v>24</v>
          </cell>
          <cell r="D20" t="str">
            <v>Jul</v>
          </cell>
          <cell r="E20">
            <v>39995</v>
          </cell>
          <cell r="F20">
            <v>39630</v>
          </cell>
        </row>
        <row r="21">
          <cell r="A21" t="str">
            <v>MASSACHUSETTS</v>
          </cell>
          <cell r="B21" t="str">
            <v>MA</v>
          </cell>
          <cell r="C21" t="str">
            <v>25</v>
          </cell>
          <cell r="D21" t="str">
            <v>Apr</v>
          </cell>
          <cell r="E21">
            <v>39904</v>
          </cell>
          <cell r="F21">
            <v>39904</v>
          </cell>
        </row>
        <row r="22">
          <cell r="A22" t="str">
            <v>MICHIGAN</v>
          </cell>
          <cell r="B22" t="str">
            <v>MI</v>
          </cell>
          <cell r="C22" t="str">
            <v>26</v>
          </cell>
          <cell r="D22" t="str">
            <v>Jan</v>
          </cell>
          <cell r="E22">
            <v>39814</v>
          </cell>
          <cell r="F22">
            <v>39814</v>
          </cell>
        </row>
        <row r="23">
          <cell r="A23" t="str">
            <v>MINNESOTA</v>
          </cell>
          <cell r="B23" t="str">
            <v>MN</v>
          </cell>
          <cell r="C23" t="str">
            <v>27</v>
          </cell>
          <cell r="D23" t="str">
            <v>Oct</v>
          </cell>
          <cell r="E23">
            <v>40087</v>
          </cell>
          <cell r="F23">
            <v>39722</v>
          </cell>
        </row>
        <row r="24">
          <cell r="A24" t="str">
            <v>MISSISSIPPI</v>
          </cell>
          <cell r="B24" t="str">
            <v>MS</v>
          </cell>
          <cell r="C24" t="str">
            <v>28</v>
          </cell>
          <cell r="D24" t="str">
            <v>Jul</v>
          </cell>
          <cell r="E24">
            <v>39995</v>
          </cell>
          <cell r="F24">
            <v>39508</v>
          </cell>
        </row>
        <row r="25">
          <cell r="A25" t="str">
            <v>MISSOURI</v>
          </cell>
          <cell r="B25" t="str">
            <v>MO</v>
          </cell>
          <cell r="C25" t="str">
            <v>29</v>
          </cell>
          <cell r="D25" t="str">
            <v>Apr</v>
          </cell>
          <cell r="E25">
            <v>39904</v>
          </cell>
          <cell r="F25">
            <v>39904</v>
          </cell>
        </row>
        <row r="26">
          <cell r="A26" t="str">
            <v>MONTANA</v>
          </cell>
          <cell r="B26" t="str">
            <v>MT</v>
          </cell>
          <cell r="C26" t="str">
            <v>30</v>
          </cell>
          <cell r="D26" t="str">
            <v>Apr</v>
          </cell>
          <cell r="E26">
            <v>39904</v>
          </cell>
          <cell r="F26">
            <v>39904</v>
          </cell>
        </row>
        <row r="27">
          <cell r="A27" t="str">
            <v>NEBRASKA</v>
          </cell>
          <cell r="B27" t="str">
            <v>NE</v>
          </cell>
          <cell r="C27" t="str">
            <v>31</v>
          </cell>
          <cell r="D27" t="str">
            <v>Jul</v>
          </cell>
          <cell r="E27">
            <v>39995</v>
          </cell>
          <cell r="F27">
            <v>39630</v>
          </cell>
        </row>
        <row r="28">
          <cell r="A28" t="str">
            <v>NEVADA</v>
          </cell>
          <cell r="B28" t="str">
            <v>NV</v>
          </cell>
          <cell r="C28" t="str">
            <v>32</v>
          </cell>
          <cell r="D28" t="str">
            <v>Jul</v>
          </cell>
          <cell r="E28">
            <v>39995</v>
          </cell>
          <cell r="F28">
            <v>39630</v>
          </cell>
        </row>
        <row r="29">
          <cell r="A29" t="str">
            <v>NEW HAMPSHIRE</v>
          </cell>
          <cell r="B29" t="str">
            <v>NH</v>
          </cell>
          <cell r="C29" t="str">
            <v>33</v>
          </cell>
          <cell r="D29" t="str">
            <v>Jan</v>
          </cell>
          <cell r="E29">
            <v>39814</v>
          </cell>
          <cell r="F29">
            <v>39814</v>
          </cell>
        </row>
        <row r="30">
          <cell r="A30" t="str">
            <v>NEW JERSEY</v>
          </cell>
          <cell r="B30" t="str">
            <v>NJ</v>
          </cell>
          <cell r="C30" t="str">
            <v>34</v>
          </cell>
          <cell r="D30" t="str">
            <v>Jul</v>
          </cell>
          <cell r="E30">
            <v>39995</v>
          </cell>
          <cell r="F30">
            <v>39630</v>
          </cell>
        </row>
        <row r="31">
          <cell r="A31" t="str">
            <v>NEW MEXICO</v>
          </cell>
          <cell r="B31" t="str">
            <v>NM</v>
          </cell>
          <cell r="C31" t="str">
            <v>35</v>
          </cell>
          <cell r="D31" t="str">
            <v>Jan</v>
          </cell>
          <cell r="E31">
            <v>39814</v>
          </cell>
          <cell r="F31">
            <v>39814</v>
          </cell>
        </row>
        <row r="32">
          <cell r="A32" t="str">
            <v>NEW YORK</v>
          </cell>
          <cell r="B32" t="str">
            <v>NY</v>
          </cell>
          <cell r="C32" t="str">
            <v>36</v>
          </cell>
          <cell r="D32" t="str">
            <v>Jan</v>
          </cell>
          <cell r="E32">
            <v>39814</v>
          </cell>
          <cell r="F32">
            <v>39814</v>
          </cell>
        </row>
        <row r="33">
          <cell r="A33" t="str">
            <v>NORTH CAROLINA</v>
          </cell>
          <cell r="B33" t="str">
            <v>NC</v>
          </cell>
          <cell r="C33" t="str">
            <v>37</v>
          </cell>
          <cell r="D33" t="str">
            <v>Jan</v>
          </cell>
          <cell r="E33">
            <v>39814</v>
          </cell>
          <cell r="F33">
            <v>39814</v>
          </cell>
        </row>
        <row r="34">
          <cell r="A34" t="str">
            <v>NORTH DAKOTA</v>
          </cell>
          <cell r="B34" t="str">
            <v>ND</v>
          </cell>
          <cell r="C34" t="str">
            <v>38</v>
          </cell>
          <cell r="D34" t="str">
            <v>Apr</v>
          </cell>
          <cell r="E34">
            <v>39904</v>
          </cell>
          <cell r="F34">
            <v>39904</v>
          </cell>
        </row>
        <row r="35">
          <cell r="A35" t="str">
            <v>OHIO</v>
          </cell>
          <cell r="B35" t="str">
            <v>OH</v>
          </cell>
          <cell r="C35" t="str">
            <v>39</v>
          </cell>
          <cell r="D35" t="str">
            <v>Jul</v>
          </cell>
          <cell r="E35">
            <v>39995</v>
          </cell>
          <cell r="F35">
            <v>39630</v>
          </cell>
        </row>
        <row r="36">
          <cell r="A36" t="str">
            <v>OKLAHOMA</v>
          </cell>
          <cell r="B36" t="str">
            <v>OK</v>
          </cell>
          <cell r="C36" t="str">
            <v>40</v>
          </cell>
          <cell r="D36" t="str">
            <v>Apr</v>
          </cell>
          <cell r="E36">
            <v>39904</v>
          </cell>
          <cell r="F36">
            <v>39904</v>
          </cell>
        </row>
        <row r="37">
          <cell r="A37" t="str">
            <v>OREGON</v>
          </cell>
          <cell r="B37" t="str">
            <v>OR</v>
          </cell>
          <cell r="C37" t="str">
            <v>41</v>
          </cell>
          <cell r="D37" t="str">
            <v>Jan</v>
          </cell>
          <cell r="E37">
            <v>39814</v>
          </cell>
          <cell r="F37">
            <v>39814</v>
          </cell>
        </row>
        <row r="38">
          <cell r="A38" t="str">
            <v>PENNSYLVANIA</v>
          </cell>
          <cell r="B38" t="str">
            <v>PA</v>
          </cell>
          <cell r="C38" t="str">
            <v>42</v>
          </cell>
          <cell r="D38" t="str">
            <v>Jan</v>
          </cell>
          <cell r="E38">
            <v>39814</v>
          </cell>
          <cell r="F38">
            <v>39814</v>
          </cell>
        </row>
        <row r="39">
          <cell r="A39" t="str">
            <v>PUERTO RICO</v>
          </cell>
          <cell r="B39" t="str">
            <v>PR</v>
          </cell>
          <cell r="C39" t="str">
            <v>72</v>
          </cell>
          <cell r="D39" t="str">
            <v>Jul</v>
          </cell>
          <cell r="E39">
            <v>39995</v>
          </cell>
          <cell r="F39">
            <v>39630</v>
          </cell>
        </row>
        <row r="40">
          <cell r="A40" t="str">
            <v>RHODE ISLAND</v>
          </cell>
          <cell r="B40" t="str">
            <v>RI</v>
          </cell>
          <cell r="C40" t="str">
            <v>44</v>
          </cell>
          <cell r="D40" t="str">
            <v>Jul</v>
          </cell>
          <cell r="E40">
            <v>39995</v>
          </cell>
          <cell r="F40">
            <v>39630</v>
          </cell>
        </row>
        <row r="41">
          <cell r="A41" t="str">
            <v>SOUTH CAROLINA</v>
          </cell>
          <cell r="B41" t="str">
            <v>SC</v>
          </cell>
          <cell r="C41" t="str">
            <v>45</v>
          </cell>
          <cell r="D41" t="str">
            <v>Apr</v>
          </cell>
          <cell r="E41">
            <v>39904</v>
          </cell>
          <cell r="F41">
            <v>39904</v>
          </cell>
        </row>
        <row r="42">
          <cell r="A42" t="str">
            <v>SOUTH DAKOTA</v>
          </cell>
          <cell r="B42" t="str">
            <v>SD</v>
          </cell>
          <cell r="C42" t="str">
            <v>46</v>
          </cell>
          <cell r="D42" t="str">
            <v>Jan</v>
          </cell>
          <cell r="E42">
            <v>39814</v>
          </cell>
          <cell r="F42">
            <v>39814</v>
          </cell>
        </row>
        <row r="43">
          <cell r="A43" t="str">
            <v>TENNESSEE</v>
          </cell>
          <cell r="B43" t="str">
            <v>TN</v>
          </cell>
          <cell r="C43" t="str">
            <v>47</v>
          </cell>
          <cell r="D43" t="str">
            <v>Jul</v>
          </cell>
          <cell r="E43">
            <v>39995</v>
          </cell>
          <cell r="F43">
            <v>39630</v>
          </cell>
        </row>
        <row r="44">
          <cell r="A44" t="str">
            <v>TEXAS</v>
          </cell>
          <cell r="B44" t="str">
            <v>TX</v>
          </cell>
          <cell r="C44" t="str">
            <v>48</v>
          </cell>
          <cell r="D44" t="str">
            <v>Feb</v>
          </cell>
          <cell r="E44">
            <v>39845</v>
          </cell>
          <cell r="F44">
            <v>39845</v>
          </cell>
        </row>
        <row r="45">
          <cell r="A45" t="str">
            <v>UTAH</v>
          </cell>
          <cell r="B45" t="str">
            <v>UT</v>
          </cell>
          <cell r="C45" t="str">
            <v>49</v>
          </cell>
          <cell r="D45" t="str">
            <v>Apr</v>
          </cell>
          <cell r="E45">
            <v>39904</v>
          </cell>
          <cell r="F45">
            <v>39904</v>
          </cell>
        </row>
        <row r="46">
          <cell r="A46" t="str">
            <v>VERMONT</v>
          </cell>
          <cell r="B46" t="str">
            <v>VT</v>
          </cell>
          <cell r="C46" t="str">
            <v>50</v>
          </cell>
          <cell r="D46" t="str">
            <v>Jul</v>
          </cell>
          <cell r="E46">
            <v>39995</v>
          </cell>
          <cell r="F46">
            <v>39630</v>
          </cell>
        </row>
        <row r="47">
          <cell r="A47" t="str">
            <v>VIRGINIA</v>
          </cell>
          <cell r="B47" t="str">
            <v>VA</v>
          </cell>
          <cell r="C47" t="str">
            <v>51</v>
          </cell>
          <cell r="D47" t="str">
            <v>Jul</v>
          </cell>
          <cell r="E47">
            <v>39995</v>
          </cell>
          <cell r="F47">
            <v>39630</v>
          </cell>
        </row>
        <row r="48">
          <cell r="A48" t="str">
            <v>WASHINGTON</v>
          </cell>
          <cell r="B48" t="str">
            <v>WA</v>
          </cell>
          <cell r="C48" t="str">
            <v>53</v>
          </cell>
          <cell r="D48" t="str">
            <v>Jan</v>
          </cell>
          <cell r="E48">
            <v>39814</v>
          </cell>
          <cell r="F48">
            <v>39814</v>
          </cell>
        </row>
        <row r="49">
          <cell r="A49" t="str">
            <v>WEST VIRGINIA</v>
          </cell>
          <cell r="B49" t="str">
            <v>WV</v>
          </cell>
          <cell r="C49" t="str">
            <v>54</v>
          </cell>
          <cell r="D49" t="str">
            <v>Jul</v>
          </cell>
          <cell r="E49">
            <v>39995</v>
          </cell>
          <cell r="F49">
            <v>39630</v>
          </cell>
        </row>
        <row r="50">
          <cell r="A50" t="str">
            <v>WISCONSIN</v>
          </cell>
          <cell r="B50" t="str">
            <v>WI</v>
          </cell>
          <cell r="C50" t="str">
            <v>55</v>
          </cell>
          <cell r="D50" t="str">
            <v>Apr</v>
          </cell>
          <cell r="E50">
            <v>39904</v>
          </cell>
          <cell r="F50">
            <v>39904</v>
          </cell>
        </row>
        <row r="51">
          <cell r="A51" t="str">
            <v>WYOMING</v>
          </cell>
          <cell r="B51" t="str">
            <v>WY</v>
          </cell>
          <cell r="C51" t="str">
            <v>56</v>
          </cell>
          <cell r="D51" t="str">
            <v>Jan</v>
          </cell>
          <cell r="E51">
            <v>39814</v>
          </cell>
          <cell r="F51">
            <v>39814</v>
          </cell>
        </row>
      </sheetData>
      <sheetData sheetId="12">
        <row r="3">
          <cell r="A3" t="str">
            <v>ALABAMA</v>
          </cell>
          <cell r="B3" t="str">
            <v>Apr</v>
          </cell>
          <cell r="C3" t="str">
            <v>AL</v>
          </cell>
          <cell r="D3">
            <v>2.0299999999999998</v>
          </cell>
          <cell r="E3">
            <v>1.98</v>
          </cell>
          <cell r="F3">
            <v>1.88</v>
          </cell>
          <cell r="G3">
            <v>1.75</v>
          </cell>
          <cell r="H3">
            <v>1.67</v>
          </cell>
          <cell r="I3">
            <v>1.61</v>
          </cell>
          <cell r="J3">
            <v>1.52</v>
          </cell>
          <cell r="K3">
            <v>2.4522976263007461</v>
          </cell>
          <cell r="L3">
            <v>2.38</v>
          </cell>
          <cell r="M3">
            <v>2.27</v>
          </cell>
          <cell r="N3">
            <v>2.1800000000000002</v>
          </cell>
          <cell r="O3">
            <v>2.13</v>
          </cell>
          <cell r="P3">
            <v>2.0299999999999998</v>
          </cell>
          <cell r="Q3">
            <v>1.99</v>
          </cell>
          <cell r="R3">
            <v>1.82</v>
          </cell>
          <cell r="S3">
            <v>1.68</v>
          </cell>
          <cell r="T3">
            <v>1.61</v>
          </cell>
          <cell r="U3">
            <v>1.52</v>
          </cell>
          <cell r="V3">
            <v>1.45</v>
          </cell>
          <cell r="AB3">
            <v>2.0299999999999998</v>
          </cell>
          <cell r="AC3">
            <v>1.45</v>
          </cell>
          <cell r="AD3">
            <v>1.959358135525062</v>
          </cell>
          <cell r="AE3">
            <v>14</v>
          </cell>
          <cell r="AF3" t="str">
            <v>AL</v>
          </cell>
          <cell r="AG3">
            <v>1.23</v>
          </cell>
          <cell r="AH3">
            <v>1.2</v>
          </cell>
          <cell r="AI3">
            <v>1.17</v>
          </cell>
          <cell r="AJ3">
            <v>1.19</v>
          </cell>
          <cell r="AK3">
            <v>1.2</v>
          </cell>
          <cell r="AL3">
            <v>1.1399999999999999</v>
          </cell>
          <cell r="AM3">
            <v>1.1299999999999999</v>
          </cell>
          <cell r="AN3">
            <v>1.1371504521285183</v>
          </cell>
          <cell r="AO3">
            <v>1.1399999999999999</v>
          </cell>
          <cell r="AP3">
            <v>1.18</v>
          </cell>
          <cell r="AQ3">
            <v>0.97</v>
          </cell>
          <cell r="AR3">
            <v>0.97</v>
          </cell>
          <cell r="AS3">
            <v>1</v>
          </cell>
          <cell r="AT3">
            <v>0.99</v>
          </cell>
          <cell r="AU3">
            <v>1.06</v>
          </cell>
          <cell r="AV3">
            <v>1.07</v>
          </cell>
          <cell r="AW3">
            <v>1.07</v>
          </cell>
          <cell r="AX3">
            <v>1.08</v>
          </cell>
          <cell r="AY3">
            <v>1.06</v>
          </cell>
          <cell r="BE3">
            <v>1.06059587101071</v>
          </cell>
        </row>
        <row r="4">
          <cell r="A4" t="str">
            <v>ALASKA</v>
          </cell>
          <cell r="B4" t="str">
            <v>Jul</v>
          </cell>
          <cell r="C4" t="str">
            <v>AK</v>
          </cell>
          <cell r="D4">
            <v>3.84</v>
          </cell>
          <cell r="E4">
            <v>3.48</v>
          </cell>
          <cell r="F4">
            <v>3.48</v>
          </cell>
          <cell r="G4">
            <v>3.35</v>
          </cell>
          <cell r="H4">
            <v>3.05</v>
          </cell>
          <cell r="I4">
            <v>3.05</v>
          </cell>
          <cell r="J4">
            <v>2.98</v>
          </cell>
          <cell r="K4">
            <v>2.9783256288268434</v>
          </cell>
          <cell r="L4">
            <v>2.83</v>
          </cell>
          <cell r="M4">
            <v>2.83</v>
          </cell>
          <cell r="N4">
            <v>2.83</v>
          </cell>
          <cell r="O4">
            <v>2.68</v>
          </cell>
          <cell r="P4">
            <v>3.75</v>
          </cell>
          <cell r="Q4">
            <v>3.75</v>
          </cell>
          <cell r="R4">
            <v>3.75</v>
          </cell>
          <cell r="S4">
            <v>2.97</v>
          </cell>
          <cell r="T4">
            <v>2.97</v>
          </cell>
          <cell r="U4">
            <v>2.9</v>
          </cell>
          <cell r="V4">
            <v>2.86</v>
          </cell>
          <cell r="AB4">
            <v>3.75</v>
          </cell>
          <cell r="AC4">
            <v>2.86</v>
          </cell>
          <cell r="AD4">
            <v>3.09152713573557</v>
          </cell>
          <cell r="AE4">
            <v>48</v>
          </cell>
          <cell r="AF4" t="str">
            <v>AK</v>
          </cell>
          <cell r="AG4">
            <v>1.96</v>
          </cell>
          <cell r="AH4">
            <v>1.7</v>
          </cell>
          <cell r="AI4">
            <v>1.7</v>
          </cell>
          <cell r="AJ4">
            <v>1.4</v>
          </cell>
          <cell r="AK4">
            <v>1.1299999999999999</v>
          </cell>
          <cell r="AL4">
            <v>1.43</v>
          </cell>
          <cell r="AM4">
            <v>1.29</v>
          </cell>
          <cell r="AN4">
            <v>1.2906382666984122</v>
          </cell>
          <cell r="AO4">
            <v>1.25</v>
          </cell>
          <cell r="AP4">
            <v>1.25</v>
          </cell>
          <cell r="AQ4">
            <v>1.25</v>
          </cell>
          <cell r="AR4">
            <v>1.1499999999999999</v>
          </cell>
          <cell r="AS4">
            <v>1.18</v>
          </cell>
          <cell r="AT4">
            <v>0.82</v>
          </cell>
          <cell r="AU4">
            <v>0.82</v>
          </cell>
          <cell r="AV4">
            <v>1.45</v>
          </cell>
          <cell r="AW4">
            <v>1.45</v>
          </cell>
          <cell r="AX4">
            <v>1.23</v>
          </cell>
          <cell r="AY4">
            <v>1.19</v>
          </cell>
          <cell r="BE4">
            <v>1.1942198555582009</v>
          </cell>
        </row>
        <row r="5">
          <cell r="A5" t="str">
            <v>ARIZONA</v>
          </cell>
          <cell r="B5" t="str">
            <v>Jul</v>
          </cell>
          <cell r="C5" t="str">
            <v>AZ</v>
          </cell>
          <cell r="D5">
            <v>2.12</v>
          </cell>
          <cell r="E5">
            <v>2.0699999999999998</v>
          </cell>
          <cell r="F5">
            <v>2.0299999999999998</v>
          </cell>
          <cell r="G5">
            <v>1.99</v>
          </cell>
          <cell r="H5">
            <v>1.97</v>
          </cell>
          <cell r="I5">
            <v>1.89</v>
          </cell>
          <cell r="J5">
            <v>1.86</v>
          </cell>
          <cell r="K5">
            <v>1.8088943331540761</v>
          </cell>
          <cell r="L5">
            <v>1.74</v>
          </cell>
          <cell r="M5">
            <v>1.61</v>
          </cell>
          <cell r="N5">
            <v>2.4700000000000002</v>
          </cell>
          <cell r="O5">
            <v>2.39</v>
          </cell>
          <cell r="P5">
            <v>2.33</v>
          </cell>
          <cell r="Q5">
            <v>2.2599999999999998</v>
          </cell>
          <cell r="R5">
            <v>2.12</v>
          </cell>
          <cell r="S5">
            <v>2.0099999999999998</v>
          </cell>
          <cell r="T5">
            <v>1.97</v>
          </cell>
          <cell r="U5">
            <v>1.9</v>
          </cell>
          <cell r="V5">
            <v>1.85</v>
          </cell>
          <cell r="AB5">
            <v>2.33</v>
          </cell>
          <cell r="AC5">
            <v>1.85</v>
          </cell>
          <cell r="AD5">
            <v>2.0382411944295065</v>
          </cell>
          <cell r="AE5">
            <v>15</v>
          </cell>
          <cell r="AF5" t="str">
            <v>AZ</v>
          </cell>
          <cell r="AG5">
            <v>0.93</v>
          </cell>
          <cell r="AH5">
            <v>0.91</v>
          </cell>
          <cell r="AI5">
            <v>0.84</v>
          </cell>
          <cell r="AJ5">
            <v>0.81</v>
          </cell>
          <cell r="AK5">
            <v>0.74</v>
          </cell>
          <cell r="AL5">
            <v>0.78</v>
          </cell>
          <cell r="AM5">
            <v>0.72</v>
          </cell>
          <cell r="AN5">
            <v>0.72032166422754851</v>
          </cell>
          <cell r="AO5">
            <v>0.67</v>
          </cell>
          <cell r="AP5">
            <v>0.76</v>
          </cell>
          <cell r="AQ5">
            <v>0.75</v>
          </cell>
          <cell r="AR5">
            <v>0.85</v>
          </cell>
          <cell r="AS5">
            <v>0.82</v>
          </cell>
          <cell r="AT5">
            <v>0.84</v>
          </cell>
          <cell r="AU5">
            <v>0.93</v>
          </cell>
          <cell r="AV5">
            <v>1.01</v>
          </cell>
          <cell r="AW5">
            <v>1.02</v>
          </cell>
          <cell r="AX5">
            <v>1.01</v>
          </cell>
          <cell r="AY5">
            <v>1.03</v>
          </cell>
          <cell r="BE5">
            <v>0.86752680535229565</v>
          </cell>
        </row>
        <row r="6">
          <cell r="A6" t="str">
            <v>ARKANSAS</v>
          </cell>
          <cell r="B6" t="str">
            <v>Jul</v>
          </cell>
          <cell r="C6" t="str">
            <v>AR</v>
          </cell>
          <cell r="D6">
            <v>3.55</v>
          </cell>
          <cell r="E6">
            <v>3.46</v>
          </cell>
          <cell r="F6">
            <v>3.3</v>
          </cell>
          <cell r="G6">
            <v>3.19</v>
          </cell>
          <cell r="H6">
            <v>3.15</v>
          </cell>
          <cell r="I6">
            <v>3.09</v>
          </cell>
          <cell r="J6">
            <v>3.02</v>
          </cell>
          <cell r="K6">
            <v>2.9450788576065561</v>
          </cell>
          <cell r="L6">
            <v>2.78</v>
          </cell>
          <cell r="M6">
            <v>2.69</v>
          </cell>
          <cell r="N6">
            <v>3.6</v>
          </cell>
          <cell r="O6">
            <v>3.49</v>
          </cell>
          <cell r="P6">
            <v>3.35</v>
          </cell>
          <cell r="Q6">
            <v>3.26</v>
          </cell>
          <cell r="R6">
            <v>3.17</v>
          </cell>
          <cell r="S6">
            <v>3.07</v>
          </cell>
          <cell r="T6">
            <v>2.98</v>
          </cell>
          <cell r="U6">
            <v>2.83</v>
          </cell>
          <cell r="V6">
            <v>2.8</v>
          </cell>
          <cell r="AB6">
            <v>3.35</v>
          </cell>
          <cell r="AC6">
            <v>2.8</v>
          </cell>
          <cell r="AD6">
            <v>3.0804232381338799</v>
          </cell>
          <cell r="AE6">
            <v>47</v>
          </cell>
          <cell r="AF6" t="str">
            <v>AR</v>
          </cell>
          <cell r="AG6">
            <v>1.26</v>
          </cell>
          <cell r="AH6">
            <v>1.1399999999999999</v>
          </cell>
          <cell r="AI6">
            <v>1.22</v>
          </cell>
          <cell r="AJ6">
            <v>1.1499999999999999</v>
          </cell>
          <cell r="AK6">
            <v>1.1499999999999999</v>
          </cell>
          <cell r="AL6">
            <v>1.1499999999999999</v>
          </cell>
          <cell r="AM6">
            <v>1.18</v>
          </cell>
          <cell r="AN6">
            <v>1.1242920695519276</v>
          </cell>
          <cell r="AO6">
            <v>1.2</v>
          </cell>
          <cell r="AP6">
            <v>1.25</v>
          </cell>
          <cell r="AQ6">
            <v>1.32</v>
          </cell>
          <cell r="AR6">
            <v>1.25</v>
          </cell>
          <cell r="AS6">
            <v>1.29</v>
          </cell>
          <cell r="AT6">
            <v>1.29</v>
          </cell>
          <cell r="AU6">
            <v>1.22</v>
          </cell>
          <cell r="AV6">
            <v>1.19</v>
          </cell>
          <cell r="AW6">
            <v>1.24</v>
          </cell>
          <cell r="AX6">
            <v>1.34</v>
          </cell>
          <cell r="AY6">
            <v>1.3</v>
          </cell>
          <cell r="BE6">
            <v>1.2511910057959941</v>
          </cell>
        </row>
        <row r="7">
          <cell r="A7" t="str">
            <v>CALIFORNIA</v>
          </cell>
          <cell r="B7" t="str">
            <v>Jul</v>
          </cell>
          <cell r="C7" t="str">
            <v>CA</v>
          </cell>
          <cell r="D7">
            <v>3.05</v>
          </cell>
          <cell r="E7">
            <v>2.96</v>
          </cell>
          <cell r="F7">
            <v>2.76</v>
          </cell>
          <cell r="G7">
            <v>2.71</v>
          </cell>
          <cell r="H7">
            <v>2.64</v>
          </cell>
          <cell r="I7">
            <v>2.4700000000000002</v>
          </cell>
          <cell r="J7">
            <v>2.31</v>
          </cell>
          <cell r="K7">
            <v>2.1786057243967947</v>
          </cell>
          <cell r="L7">
            <v>2.0299999999999998</v>
          </cell>
          <cell r="M7">
            <v>1.98</v>
          </cell>
          <cell r="N7">
            <v>1.89</v>
          </cell>
          <cell r="O7">
            <v>1.79</v>
          </cell>
          <cell r="P7">
            <v>2.8</v>
          </cell>
          <cell r="Q7">
            <v>2.59</v>
          </cell>
          <cell r="R7">
            <v>2.5499999999999998</v>
          </cell>
          <cell r="S7">
            <v>2.5</v>
          </cell>
          <cell r="T7">
            <v>2.39</v>
          </cell>
          <cell r="U7">
            <v>2.33</v>
          </cell>
          <cell r="V7">
            <v>2.23</v>
          </cell>
          <cell r="AB7">
            <v>2.8</v>
          </cell>
          <cell r="AC7">
            <v>2.23</v>
          </cell>
          <cell r="AD7">
            <v>2.2715504770330663</v>
          </cell>
          <cell r="AE7">
            <v>26</v>
          </cell>
          <cell r="AF7" t="str">
            <v>CA</v>
          </cell>
          <cell r="AG7">
            <v>1.48</v>
          </cell>
          <cell r="AH7">
            <v>1.46</v>
          </cell>
          <cell r="AI7">
            <v>1.52</v>
          </cell>
          <cell r="AJ7">
            <v>1.53</v>
          </cell>
          <cell r="AK7">
            <v>1.44</v>
          </cell>
          <cell r="AL7">
            <v>1.51</v>
          </cell>
          <cell r="AM7">
            <v>1.6</v>
          </cell>
          <cell r="AN7">
            <v>1.6300317100570092</v>
          </cell>
          <cell r="AO7">
            <v>1.68</v>
          </cell>
          <cell r="AP7">
            <v>1.66</v>
          </cell>
          <cell r="AQ7">
            <v>1.58</v>
          </cell>
          <cell r="AR7">
            <v>1.44</v>
          </cell>
          <cell r="AS7">
            <v>1.42</v>
          </cell>
          <cell r="AT7">
            <v>1.54</v>
          </cell>
          <cell r="AU7">
            <v>1.37</v>
          </cell>
          <cell r="AV7">
            <v>1.35</v>
          </cell>
          <cell r="AW7">
            <v>1.36</v>
          </cell>
          <cell r="AX7">
            <v>1.28</v>
          </cell>
          <cell r="AY7">
            <v>1.21</v>
          </cell>
          <cell r="BE7">
            <v>1.4600026425047508</v>
          </cell>
        </row>
        <row r="8">
          <cell r="A8" t="str">
            <v>COLORADO</v>
          </cell>
          <cell r="B8" t="str">
            <v>Apr</v>
          </cell>
          <cell r="C8" t="str">
            <v>CO</v>
          </cell>
          <cell r="D8">
            <v>3.2</v>
          </cell>
          <cell r="E8">
            <v>3.1</v>
          </cell>
          <cell r="F8">
            <v>3.05</v>
          </cell>
          <cell r="G8">
            <v>3.04</v>
          </cell>
          <cell r="H8">
            <v>2.87</v>
          </cell>
          <cell r="I8">
            <v>2.78</v>
          </cell>
          <cell r="J8">
            <v>2.74</v>
          </cell>
          <cell r="K8">
            <v>3.6944189008198598</v>
          </cell>
          <cell r="L8">
            <v>3.59</v>
          </cell>
          <cell r="M8">
            <v>3.59</v>
          </cell>
          <cell r="N8">
            <v>3.44</v>
          </cell>
          <cell r="O8">
            <v>3.33</v>
          </cell>
          <cell r="P8">
            <v>3.19</v>
          </cell>
          <cell r="Q8">
            <v>3.12</v>
          </cell>
          <cell r="R8">
            <v>2.85</v>
          </cell>
          <cell r="S8">
            <v>2.74</v>
          </cell>
          <cell r="T8">
            <v>2.74</v>
          </cell>
          <cell r="U8">
            <v>2.62</v>
          </cell>
          <cell r="V8">
            <v>2.52</v>
          </cell>
          <cell r="AB8">
            <v>3.19</v>
          </cell>
          <cell r="AC8">
            <v>2.52</v>
          </cell>
          <cell r="AD8">
            <v>3.118701575068322</v>
          </cell>
          <cell r="AE8">
            <v>49</v>
          </cell>
          <cell r="AF8" t="str">
            <v>CO</v>
          </cell>
          <cell r="AG8">
            <v>1.05</v>
          </cell>
          <cell r="AH8">
            <v>0.98</v>
          </cell>
          <cell r="AI8">
            <v>0.91</v>
          </cell>
          <cell r="AJ8">
            <v>0.8</v>
          </cell>
          <cell r="AK8">
            <v>0.87</v>
          </cell>
          <cell r="AL8">
            <v>0.93</v>
          </cell>
          <cell r="AM8">
            <v>0.92</v>
          </cell>
          <cell r="AN8">
            <v>0.89844721687148543</v>
          </cell>
          <cell r="AO8">
            <v>0.97</v>
          </cell>
          <cell r="AP8">
            <v>0.97</v>
          </cell>
          <cell r="AQ8">
            <v>0.96</v>
          </cell>
          <cell r="AR8">
            <v>1.08</v>
          </cell>
          <cell r="AS8">
            <v>1.08</v>
          </cell>
          <cell r="AT8">
            <v>1.05</v>
          </cell>
          <cell r="AU8">
            <v>1.27</v>
          </cell>
          <cell r="AV8">
            <v>1.37</v>
          </cell>
          <cell r="AW8">
            <v>1.2</v>
          </cell>
          <cell r="AX8">
            <v>1.22</v>
          </cell>
          <cell r="AY8">
            <v>1.28</v>
          </cell>
          <cell r="BE8">
            <v>1.1123706014059571</v>
          </cell>
        </row>
        <row r="9">
          <cell r="A9" t="str">
            <v>CONNECTICUT</v>
          </cell>
          <cell r="B9" t="str">
            <v>Jul</v>
          </cell>
          <cell r="C9" t="str">
            <v>CT</v>
          </cell>
          <cell r="D9">
            <v>2.86</v>
          </cell>
          <cell r="E9">
            <v>2.79</v>
          </cell>
          <cell r="F9">
            <v>2.72</v>
          </cell>
          <cell r="G9">
            <v>2.56</v>
          </cell>
          <cell r="H9">
            <v>2.4700000000000002</v>
          </cell>
          <cell r="I9">
            <v>2.4</v>
          </cell>
          <cell r="J9">
            <v>2.31</v>
          </cell>
          <cell r="K9">
            <v>2.1808256580535681</v>
          </cell>
          <cell r="L9">
            <v>2.0699999999999998</v>
          </cell>
          <cell r="M9">
            <v>1.99</v>
          </cell>
          <cell r="N9">
            <v>2.99</v>
          </cell>
          <cell r="O9">
            <v>2.84</v>
          </cell>
          <cell r="P9">
            <v>2.67</v>
          </cell>
          <cell r="Q9">
            <v>2.5499999999999998</v>
          </cell>
          <cell r="R9">
            <v>2.4</v>
          </cell>
          <cell r="S9">
            <v>2.2799999999999998</v>
          </cell>
          <cell r="T9">
            <v>2.2599999999999998</v>
          </cell>
          <cell r="U9">
            <v>2.06</v>
          </cell>
          <cell r="V9">
            <v>1.8</v>
          </cell>
          <cell r="AB9">
            <v>2.67</v>
          </cell>
          <cell r="AC9">
            <v>1.8</v>
          </cell>
          <cell r="AD9">
            <v>2.3409021381711308</v>
          </cell>
          <cell r="AE9">
            <v>28</v>
          </cell>
          <cell r="AF9" t="str">
            <v>CT</v>
          </cell>
          <cell r="AG9">
            <v>1.32</v>
          </cell>
          <cell r="AH9">
            <v>1.35</v>
          </cell>
          <cell r="AI9">
            <v>1.34</v>
          </cell>
          <cell r="AJ9">
            <v>1.25</v>
          </cell>
          <cell r="AK9">
            <v>1.28</v>
          </cell>
          <cell r="AL9">
            <v>1.25</v>
          </cell>
          <cell r="AM9">
            <v>1.23</v>
          </cell>
          <cell r="AN9">
            <v>1.3194870536254968</v>
          </cell>
          <cell r="AO9">
            <v>1.1200000000000001</v>
          </cell>
          <cell r="AP9">
            <v>1.1200000000000001</v>
          </cell>
          <cell r="AQ9">
            <v>1.22</v>
          </cell>
          <cell r="AR9">
            <v>1.24</v>
          </cell>
          <cell r="AS9">
            <v>1.28</v>
          </cell>
          <cell r="AT9">
            <v>1.33</v>
          </cell>
          <cell r="AU9">
            <v>1.33</v>
          </cell>
          <cell r="AV9">
            <v>1.35</v>
          </cell>
          <cell r="AW9">
            <v>1.33</v>
          </cell>
          <cell r="AX9">
            <v>1.41</v>
          </cell>
          <cell r="AY9">
            <v>1.57</v>
          </cell>
          <cell r="BE9">
            <v>1.3016239211354581</v>
          </cell>
        </row>
        <row r="10">
          <cell r="A10" t="str">
            <v>DELAWARE</v>
          </cell>
          <cell r="B10" t="str">
            <v>Jul</v>
          </cell>
          <cell r="C10" t="str">
            <v>DE</v>
          </cell>
          <cell r="D10">
            <v>1.07</v>
          </cell>
          <cell r="E10">
            <v>0.94</v>
          </cell>
          <cell r="F10">
            <v>0.82</v>
          </cell>
          <cell r="G10">
            <v>0.81</v>
          </cell>
          <cell r="H10">
            <v>0.71</v>
          </cell>
          <cell r="I10">
            <v>0.67</v>
          </cell>
          <cell r="J10">
            <v>0.56000000000000005</v>
          </cell>
          <cell r="K10">
            <v>0.49925152107553644</v>
          </cell>
          <cell r="L10">
            <v>0.39</v>
          </cell>
          <cell r="M10">
            <v>0.39</v>
          </cell>
          <cell r="N10">
            <v>0.23</v>
          </cell>
          <cell r="O10">
            <v>1.17</v>
          </cell>
          <cell r="P10">
            <v>1.03</v>
          </cell>
          <cell r="Q10">
            <v>1.02</v>
          </cell>
          <cell r="R10">
            <v>0.89</v>
          </cell>
          <cell r="S10">
            <v>0.74</v>
          </cell>
          <cell r="T10">
            <v>0.72</v>
          </cell>
          <cell r="U10">
            <v>0.64</v>
          </cell>
          <cell r="V10">
            <v>0.59</v>
          </cell>
          <cell r="AB10">
            <v>1.03</v>
          </cell>
          <cell r="AC10">
            <v>0.59</v>
          </cell>
          <cell r="AD10">
            <v>0.69243762675629472</v>
          </cell>
          <cell r="AE10">
            <v>1</v>
          </cell>
          <cell r="AF10" t="str">
            <v>DE</v>
          </cell>
          <cell r="AG10">
            <v>1.2</v>
          </cell>
          <cell r="AH10">
            <v>1.24</v>
          </cell>
          <cell r="AI10">
            <v>1.2</v>
          </cell>
          <cell r="AJ10">
            <v>1.05</v>
          </cell>
          <cell r="AK10">
            <v>1.08</v>
          </cell>
          <cell r="AL10">
            <v>1.05</v>
          </cell>
          <cell r="AM10">
            <v>0.98</v>
          </cell>
          <cell r="AN10">
            <v>1.0069538688666269</v>
          </cell>
          <cell r="AO10">
            <v>0.96</v>
          </cell>
          <cell r="AP10">
            <v>0.91</v>
          </cell>
          <cell r="AQ10">
            <v>1.02</v>
          </cell>
          <cell r="AR10">
            <v>0.93</v>
          </cell>
          <cell r="AS10">
            <v>1.07</v>
          </cell>
          <cell r="AT10">
            <v>0.94</v>
          </cell>
          <cell r="AU10">
            <v>0.96</v>
          </cell>
          <cell r="AV10">
            <v>1.04</v>
          </cell>
          <cell r="AW10">
            <v>1.01</v>
          </cell>
          <cell r="AX10">
            <v>1.05</v>
          </cell>
          <cell r="AY10">
            <v>0.98</v>
          </cell>
          <cell r="BE10">
            <v>0.98974615573888569</v>
          </cell>
        </row>
        <row r="11">
          <cell r="A11" t="str">
            <v>FLORIDA</v>
          </cell>
          <cell r="B11" t="str">
            <v>Jul</v>
          </cell>
          <cell r="C11" t="str">
            <v>FL</v>
          </cell>
          <cell r="D11">
            <v>2.73</v>
          </cell>
          <cell r="E11">
            <v>2.67</v>
          </cell>
          <cell r="F11">
            <v>2.57</v>
          </cell>
          <cell r="G11">
            <v>2.4700000000000002</v>
          </cell>
          <cell r="H11">
            <v>2.34</v>
          </cell>
          <cell r="I11">
            <v>2.27</v>
          </cell>
          <cell r="J11">
            <v>2.2000000000000002</v>
          </cell>
          <cell r="K11">
            <v>2.0660731139278004</v>
          </cell>
          <cell r="L11">
            <v>1.97</v>
          </cell>
          <cell r="M11">
            <v>1.87</v>
          </cell>
          <cell r="N11">
            <v>1.83</v>
          </cell>
          <cell r="O11">
            <v>2.89</v>
          </cell>
          <cell r="P11">
            <v>2.83</v>
          </cell>
          <cell r="Q11">
            <v>2.75</v>
          </cell>
          <cell r="R11">
            <v>2.68</v>
          </cell>
          <cell r="S11">
            <v>2.58</v>
          </cell>
          <cell r="T11">
            <v>2.5099999999999998</v>
          </cell>
          <cell r="U11">
            <v>2.46</v>
          </cell>
          <cell r="V11">
            <v>2.41</v>
          </cell>
          <cell r="AB11">
            <v>2.83</v>
          </cell>
          <cell r="AC11">
            <v>2.41</v>
          </cell>
          <cell r="AD11">
            <v>2.4038394261606499</v>
          </cell>
          <cell r="AE11">
            <v>29</v>
          </cell>
          <cell r="AF11" t="str">
            <v>FL</v>
          </cell>
          <cell r="AG11">
            <v>1.27</v>
          </cell>
          <cell r="AH11">
            <v>1.21</v>
          </cell>
          <cell r="AI11">
            <v>1.21</v>
          </cell>
          <cell r="AJ11">
            <v>1.23</v>
          </cell>
          <cell r="AK11">
            <v>1.3</v>
          </cell>
          <cell r="AL11">
            <v>1.31</v>
          </cell>
          <cell r="AM11">
            <v>1.31</v>
          </cell>
          <cell r="AN11">
            <v>1.3304595073581986</v>
          </cell>
          <cell r="AO11">
            <v>1.32</v>
          </cell>
          <cell r="AP11">
            <v>1.32</v>
          </cell>
          <cell r="AQ11">
            <v>1.25</v>
          </cell>
          <cell r="AR11">
            <v>1.24</v>
          </cell>
          <cell r="AS11">
            <v>1.0900000000000001</v>
          </cell>
          <cell r="AT11">
            <v>1.1000000000000001</v>
          </cell>
          <cell r="AU11">
            <v>1.07</v>
          </cell>
          <cell r="AV11">
            <v>1.06</v>
          </cell>
          <cell r="AW11">
            <v>0.99</v>
          </cell>
          <cell r="AX11">
            <v>0.97</v>
          </cell>
          <cell r="AY11">
            <v>0.95</v>
          </cell>
          <cell r="BE11">
            <v>1.1408716256131834</v>
          </cell>
        </row>
        <row r="12">
          <cell r="A12" t="str">
            <v>GEORGIA</v>
          </cell>
          <cell r="B12" t="str">
            <v>Jul</v>
          </cell>
          <cell r="C12" t="str">
            <v>GA</v>
          </cell>
          <cell r="D12">
            <v>2.73</v>
          </cell>
          <cell r="E12">
            <v>2.66</v>
          </cell>
          <cell r="F12">
            <v>2.57</v>
          </cell>
          <cell r="G12">
            <v>2.4900000000000002</v>
          </cell>
          <cell r="H12">
            <v>2.39</v>
          </cell>
          <cell r="I12">
            <v>2.31</v>
          </cell>
          <cell r="J12">
            <v>2.2200000000000002</v>
          </cell>
          <cell r="K12">
            <v>2.120523683035906</v>
          </cell>
          <cell r="L12">
            <v>3.07</v>
          </cell>
          <cell r="M12">
            <v>2.98</v>
          </cell>
          <cell r="N12">
            <v>2.88</v>
          </cell>
          <cell r="O12">
            <v>2.79</v>
          </cell>
          <cell r="P12">
            <v>2.68</v>
          </cell>
          <cell r="Q12">
            <v>2.59</v>
          </cell>
          <cell r="R12">
            <v>2.4300000000000002</v>
          </cell>
          <cell r="S12">
            <v>2.34</v>
          </cell>
          <cell r="T12">
            <v>2.2599999999999998</v>
          </cell>
          <cell r="U12">
            <v>2.16</v>
          </cell>
          <cell r="V12">
            <v>2.0699999999999998</v>
          </cell>
          <cell r="AB12">
            <v>2.68</v>
          </cell>
          <cell r="AC12">
            <v>2.0699999999999998</v>
          </cell>
          <cell r="AD12">
            <v>2.530876973586325</v>
          </cell>
          <cell r="AE12">
            <v>33</v>
          </cell>
          <cell r="AF12" t="str">
            <v>GA</v>
          </cell>
          <cell r="AG12">
            <v>1.1299999999999999</v>
          </cell>
          <cell r="AH12">
            <v>1.0900000000000001</v>
          </cell>
          <cell r="AI12">
            <v>1.0900000000000001</v>
          </cell>
          <cell r="AJ12">
            <v>1.1000000000000001</v>
          </cell>
          <cell r="AK12">
            <v>1.1299999999999999</v>
          </cell>
          <cell r="AL12">
            <v>1.1399999999999999</v>
          </cell>
          <cell r="AM12">
            <v>1.1599999999999999</v>
          </cell>
          <cell r="AN12">
            <v>1.1209679294594252</v>
          </cell>
          <cell r="AO12">
            <v>1.1100000000000001</v>
          </cell>
          <cell r="AP12">
            <v>1.1399999999999999</v>
          </cell>
          <cell r="AQ12">
            <v>1.1200000000000001</v>
          </cell>
          <cell r="AR12">
            <v>1.1200000000000001</v>
          </cell>
          <cell r="AS12">
            <v>1.07</v>
          </cell>
          <cell r="AT12">
            <v>1.1200000000000001</v>
          </cell>
          <cell r="AU12">
            <v>1.17</v>
          </cell>
          <cell r="AV12">
            <v>1.19</v>
          </cell>
          <cell r="AW12">
            <v>1.18</v>
          </cell>
          <cell r="AX12">
            <v>1.19</v>
          </cell>
          <cell r="AY12">
            <v>1.18</v>
          </cell>
          <cell r="BE12">
            <v>1.1425806607882854</v>
          </cell>
        </row>
        <row r="13">
          <cell r="A13" t="str">
            <v>IDAHO</v>
          </cell>
          <cell r="B13" t="str">
            <v>Apr</v>
          </cell>
          <cell r="C13" t="str">
            <v>ID</v>
          </cell>
          <cell r="D13">
            <v>1.66</v>
          </cell>
          <cell r="E13">
            <v>1.55</v>
          </cell>
          <cell r="F13">
            <v>1.4</v>
          </cell>
          <cell r="G13">
            <v>1.34</v>
          </cell>
          <cell r="H13">
            <v>1.3</v>
          </cell>
          <cell r="I13">
            <v>1.27</v>
          </cell>
          <cell r="J13">
            <v>1.23</v>
          </cell>
          <cell r="K13">
            <v>2.2436244735385831</v>
          </cell>
          <cell r="L13">
            <v>2.2000000000000002</v>
          </cell>
          <cell r="M13">
            <v>2.08</v>
          </cell>
          <cell r="N13">
            <v>2.04</v>
          </cell>
          <cell r="O13">
            <v>1.86</v>
          </cell>
          <cell r="P13">
            <v>1.74</v>
          </cell>
          <cell r="Q13">
            <v>1.64</v>
          </cell>
          <cell r="R13">
            <v>1.59</v>
          </cell>
          <cell r="S13">
            <v>1.55</v>
          </cell>
          <cell r="T13">
            <v>1.5</v>
          </cell>
          <cell r="U13">
            <v>1.41</v>
          </cell>
          <cell r="V13">
            <v>1.4</v>
          </cell>
          <cell r="AB13">
            <v>1.74</v>
          </cell>
          <cell r="AC13">
            <v>1.4</v>
          </cell>
          <cell r="AD13">
            <v>1.771135372794882</v>
          </cell>
          <cell r="AE13">
            <v>11</v>
          </cell>
          <cell r="AF13" t="str">
            <v>ID</v>
          </cell>
          <cell r="AG13">
            <v>0.98</v>
          </cell>
          <cell r="AH13">
            <v>1</v>
          </cell>
          <cell r="AI13">
            <v>1.08</v>
          </cell>
          <cell r="AJ13">
            <v>1.04</v>
          </cell>
          <cell r="AK13">
            <v>1.01</v>
          </cell>
          <cell r="AL13">
            <v>0.97</v>
          </cell>
          <cell r="AM13">
            <v>0.95</v>
          </cell>
          <cell r="AN13">
            <v>0.99133738951825201</v>
          </cell>
          <cell r="AO13">
            <v>0.94</v>
          </cell>
          <cell r="AP13">
            <v>0.95</v>
          </cell>
          <cell r="AQ13">
            <v>0.88</v>
          </cell>
          <cell r="AR13">
            <v>0.93</v>
          </cell>
          <cell r="AS13">
            <v>1.02</v>
          </cell>
          <cell r="AT13">
            <v>1</v>
          </cell>
          <cell r="AU13">
            <v>0.9</v>
          </cell>
          <cell r="AV13">
            <v>0.87</v>
          </cell>
          <cell r="AW13">
            <v>0.89</v>
          </cell>
          <cell r="AX13">
            <v>0.89</v>
          </cell>
          <cell r="AY13">
            <v>0.9</v>
          </cell>
          <cell r="BE13">
            <v>0.93011144912652099</v>
          </cell>
        </row>
        <row r="14">
          <cell r="A14" t="str">
            <v>ILLINOIS</v>
          </cell>
          <cell r="B14" t="str">
            <v>Jan</v>
          </cell>
          <cell r="C14" t="str">
            <v>IL</v>
          </cell>
          <cell r="D14">
            <v>2.08</v>
          </cell>
          <cell r="E14">
            <v>2.02</v>
          </cell>
          <cell r="F14">
            <v>1.95</v>
          </cell>
          <cell r="G14">
            <v>1.9</v>
          </cell>
          <cell r="H14">
            <v>1.85</v>
          </cell>
          <cell r="I14">
            <v>1.81</v>
          </cell>
          <cell r="J14">
            <v>1.7</v>
          </cell>
          <cell r="K14">
            <v>2.694209915308643</v>
          </cell>
          <cell r="L14">
            <v>2.59</v>
          </cell>
          <cell r="M14">
            <v>2.5</v>
          </cell>
          <cell r="N14">
            <v>2.38</v>
          </cell>
          <cell r="O14">
            <v>2.2799999999999998</v>
          </cell>
          <cell r="P14">
            <v>2.1800000000000002</v>
          </cell>
          <cell r="Q14">
            <v>2.11</v>
          </cell>
          <cell r="R14">
            <v>2.04</v>
          </cell>
          <cell r="S14">
            <v>1.97</v>
          </cell>
          <cell r="T14">
            <v>1.9</v>
          </cell>
          <cell r="U14">
            <v>1.84</v>
          </cell>
          <cell r="V14">
            <v>1.77</v>
          </cell>
          <cell r="AB14">
            <v>2.1800000000000002</v>
          </cell>
          <cell r="AC14">
            <v>1.77</v>
          </cell>
          <cell r="AD14">
            <v>2.1878508262757199</v>
          </cell>
          <cell r="AE14">
            <v>24</v>
          </cell>
          <cell r="AF14" t="str">
            <v>IL</v>
          </cell>
          <cell r="AG14">
            <v>0.83</v>
          </cell>
          <cell r="AH14">
            <v>0.8</v>
          </cell>
          <cell r="AI14">
            <v>0.81</v>
          </cell>
          <cell r="AJ14">
            <v>0.78</v>
          </cell>
          <cell r="AK14">
            <v>0.74</v>
          </cell>
          <cell r="AL14">
            <v>0.73</v>
          </cell>
          <cell r="AM14">
            <v>0.81</v>
          </cell>
          <cell r="AN14">
            <v>0.81623011224081732</v>
          </cell>
          <cell r="AO14">
            <v>0.84</v>
          </cell>
          <cell r="AP14">
            <v>0.87</v>
          </cell>
          <cell r="AQ14">
            <v>0.89</v>
          </cell>
          <cell r="AR14">
            <v>0.93</v>
          </cell>
          <cell r="AS14">
            <v>0.96</v>
          </cell>
          <cell r="AT14">
            <v>0.98</v>
          </cell>
          <cell r="AU14">
            <v>0.98</v>
          </cell>
          <cell r="AV14">
            <v>0.98</v>
          </cell>
          <cell r="AW14">
            <v>1.01</v>
          </cell>
          <cell r="AX14">
            <v>1.03</v>
          </cell>
          <cell r="AY14">
            <v>0.99</v>
          </cell>
          <cell r="BE14">
            <v>0.93968584268673483</v>
          </cell>
        </row>
        <row r="15">
          <cell r="A15" t="str">
            <v>INDIANA</v>
          </cell>
          <cell r="B15" t="str">
            <v>Jul</v>
          </cell>
          <cell r="C15" t="str">
            <v>IN</v>
          </cell>
          <cell r="D15">
            <v>1.8</v>
          </cell>
          <cell r="E15">
            <v>1.7</v>
          </cell>
          <cell r="F15">
            <v>1.61</v>
          </cell>
          <cell r="G15">
            <v>1.53</v>
          </cell>
          <cell r="H15">
            <v>1.46</v>
          </cell>
          <cell r="I15">
            <v>1.38</v>
          </cell>
          <cell r="J15">
            <v>1.32</v>
          </cell>
          <cell r="K15">
            <v>1.2299261402149715</v>
          </cell>
          <cell r="L15">
            <v>1.1499999999999999</v>
          </cell>
          <cell r="M15">
            <v>1.0900000000000001</v>
          </cell>
          <cell r="N15">
            <v>2.0499999999999998</v>
          </cell>
          <cell r="O15">
            <v>1.95</v>
          </cell>
          <cell r="P15">
            <v>1.83</v>
          </cell>
          <cell r="Q15">
            <v>1.74</v>
          </cell>
          <cell r="R15">
            <v>1.61</v>
          </cell>
          <cell r="S15">
            <v>1.51</v>
          </cell>
          <cell r="T15">
            <v>1.47</v>
          </cell>
          <cell r="U15">
            <v>1.38</v>
          </cell>
          <cell r="V15">
            <v>1.3</v>
          </cell>
          <cell r="AB15">
            <v>1.83</v>
          </cell>
          <cell r="AC15">
            <v>1.3</v>
          </cell>
          <cell r="AD15">
            <v>1.5258271783512478</v>
          </cell>
          <cell r="AE15">
            <v>4</v>
          </cell>
          <cell r="AF15" t="str">
            <v>IN</v>
          </cell>
          <cell r="AG15">
            <v>1.06</v>
          </cell>
          <cell r="AH15">
            <v>1.03</v>
          </cell>
          <cell r="AI15">
            <v>1.02</v>
          </cell>
          <cell r="AJ15">
            <v>0.98</v>
          </cell>
          <cell r="AK15">
            <v>0.97</v>
          </cell>
          <cell r="AL15">
            <v>1.02</v>
          </cell>
          <cell r="AM15">
            <v>1.01</v>
          </cell>
          <cell r="AN15">
            <v>1.0194607937180036</v>
          </cell>
          <cell r="AO15">
            <v>1.01</v>
          </cell>
          <cell r="AP15">
            <v>0.99</v>
          </cell>
          <cell r="AQ15">
            <v>0.97</v>
          </cell>
          <cell r="AR15">
            <v>1.01</v>
          </cell>
          <cell r="AS15">
            <v>1.02</v>
          </cell>
          <cell r="AT15">
            <v>1</v>
          </cell>
          <cell r="AU15">
            <v>1.04</v>
          </cell>
          <cell r="AV15">
            <v>1.06</v>
          </cell>
          <cell r="AW15">
            <v>1.05</v>
          </cell>
          <cell r="AX15">
            <v>1.04</v>
          </cell>
          <cell r="AY15">
            <v>1.06</v>
          </cell>
          <cell r="BE15">
            <v>1.0224550661431671</v>
          </cell>
        </row>
        <row r="16">
          <cell r="A16" t="str">
            <v>IOWA</v>
          </cell>
          <cell r="B16" t="str">
            <v>Jan</v>
          </cell>
          <cell r="C16" t="str">
            <v>IA</v>
          </cell>
          <cell r="D16">
            <v>2.2000000000000002</v>
          </cell>
          <cell r="E16">
            <v>2.13</v>
          </cell>
          <cell r="F16">
            <v>1.93</v>
          </cell>
          <cell r="G16">
            <v>1.88</v>
          </cell>
          <cell r="H16">
            <v>1.8</v>
          </cell>
          <cell r="I16">
            <v>1.77</v>
          </cell>
          <cell r="J16">
            <v>1.74</v>
          </cell>
          <cell r="K16">
            <v>2.673794679119406</v>
          </cell>
          <cell r="L16">
            <v>2.6</v>
          </cell>
          <cell r="M16">
            <v>2.5299999999999998</v>
          </cell>
          <cell r="N16">
            <v>2.4700000000000002</v>
          </cell>
          <cell r="O16">
            <v>2.36</v>
          </cell>
          <cell r="P16">
            <v>2.29</v>
          </cell>
          <cell r="Q16">
            <v>2.15</v>
          </cell>
          <cell r="R16">
            <v>2.0699999999999998</v>
          </cell>
          <cell r="S16">
            <v>2.0099999999999998</v>
          </cell>
          <cell r="T16">
            <v>1.95</v>
          </cell>
          <cell r="U16">
            <v>1.89</v>
          </cell>
          <cell r="V16">
            <v>1.86</v>
          </cell>
          <cell r="AB16">
            <v>2.29</v>
          </cell>
          <cell r="AC16">
            <v>1.86</v>
          </cell>
          <cell r="AD16">
            <v>2.2378162232599506</v>
          </cell>
          <cell r="AE16">
            <v>25</v>
          </cell>
          <cell r="AF16" t="str">
            <v>IA</v>
          </cell>
          <cell r="AG16">
            <v>1.1100000000000001</v>
          </cell>
          <cell r="AH16">
            <v>1.06</v>
          </cell>
          <cell r="AI16">
            <v>1.1299999999999999</v>
          </cell>
          <cell r="AJ16">
            <v>1.0900000000000001</v>
          </cell>
          <cell r="AK16">
            <v>1.08</v>
          </cell>
          <cell r="AL16">
            <v>1.03</v>
          </cell>
          <cell r="AM16">
            <v>1</v>
          </cell>
          <cell r="AN16">
            <v>1.063248340186091</v>
          </cell>
          <cell r="AO16">
            <v>1.01</v>
          </cell>
          <cell r="AP16">
            <v>1.02</v>
          </cell>
          <cell r="AQ16">
            <v>0.93</v>
          </cell>
          <cell r="AR16">
            <v>0.98</v>
          </cell>
          <cell r="AS16">
            <v>0.98</v>
          </cell>
          <cell r="AT16">
            <v>1.03</v>
          </cell>
          <cell r="AU16">
            <v>0.92</v>
          </cell>
          <cell r="AV16">
            <v>0.92</v>
          </cell>
          <cell r="AW16">
            <v>0.9</v>
          </cell>
          <cell r="AX16">
            <v>0.92</v>
          </cell>
          <cell r="AY16">
            <v>0.93</v>
          </cell>
          <cell r="BE16">
            <v>0.96693736168217448</v>
          </cell>
        </row>
        <row r="17">
          <cell r="A17" t="str">
            <v>KANSAS</v>
          </cell>
          <cell r="B17" t="str">
            <v>Jan</v>
          </cell>
          <cell r="C17" t="str">
            <v>KS</v>
          </cell>
          <cell r="D17">
            <v>1.95</v>
          </cell>
          <cell r="E17">
            <v>1.83</v>
          </cell>
          <cell r="F17">
            <v>1.72</v>
          </cell>
          <cell r="G17">
            <v>1.61</v>
          </cell>
          <cell r="H17">
            <v>1.57</v>
          </cell>
          <cell r="I17">
            <v>1.47</v>
          </cell>
          <cell r="J17">
            <v>1.39</v>
          </cell>
          <cell r="K17">
            <v>2.3687545540373911</v>
          </cell>
          <cell r="L17">
            <v>2.2799999999999998</v>
          </cell>
          <cell r="M17">
            <v>2.2000000000000002</v>
          </cell>
          <cell r="N17">
            <v>2.13</v>
          </cell>
          <cell r="O17">
            <v>2.0499999999999998</v>
          </cell>
          <cell r="P17">
            <v>1.94</v>
          </cell>
          <cell r="Q17">
            <v>1.88</v>
          </cell>
          <cell r="R17">
            <v>1.82</v>
          </cell>
          <cell r="S17">
            <v>1.77</v>
          </cell>
          <cell r="T17">
            <v>1.71</v>
          </cell>
          <cell r="U17">
            <v>1.65</v>
          </cell>
          <cell r="V17">
            <v>1.57</v>
          </cell>
          <cell r="AB17">
            <v>1.94</v>
          </cell>
          <cell r="AC17">
            <v>1.57</v>
          </cell>
          <cell r="AD17">
            <v>1.9473962128364493</v>
          </cell>
          <cell r="AE17">
            <v>13</v>
          </cell>
          <cell r="AF17" t="str">
            <v>KS</v>
          </cell>
          <cell r="AG17">
            <v>0.92</v>
          </cell>
          <cell r="AH17">
            <v>0.96</v>
          </cell>
          <cell r="AI17">
            <v>0.97</v>
          </cell>
          <cell r="AJ17">
            <v>0.98</v>
          </cell>
          <cell r="AK17">
            <v>0.93</v>
          </cell>
          <cell r="AL17">
            <v>0.98</v>
          </cell>
          <cell r="AM17">
            <v>0.98</v>
          </cell>
          <cell r="AN17">
            <v>0.97590672972862513</v>
          </cell>
          <cell r="AO17">
            <v>1.01</v>
          </cell>
          <cell r="AP17">
            <v>1</v>
          </cell>
          <cell r="AQ17">
            <v>1.02</v>
          </cell>
          <cell r="AR17">
            <v>1.03</v>
          </cell>
          <cell r="AS17">
            <v>1.06</v>
          </cell>
          <cell r="AT17">
            <v>1</v>
          </cell>
          <cell r="AU17">
            <v>0.95</v>
          </cell>
          <cell r="AV17">
            <v>0.88</v>
          </cell>
          <cell r="AW17">
            <v>0.9</v>
          </cell>
          <cell r="AX17">
            <v>0.85</v>
          </cell>
          <cell r="AY17">
            <v>0.86</v>
          </cell>
          <cell r="BE17">
            <v>0.96132556081071874</v>
          </cell>
        </row>
        <row r="18">
          <cell r="A18" t="str">
            <v>KENTUCKY</v>
          </cell>
          <cell r="B18" t="str">
            <v>Jul</v>
          </cell>
          <cell r="C18" t="str">
            <v>KY</v>
          </cell>
          <cell r="D18">
            <v>2.4700000000000002</v>
          </cell>
          <cell r="E18">
            <v>2.41</v>
          </cell>
          <cell r="F18">
            <v>2.37</v>
          </cell>
          <cell r="G18">
            <v>2.31</v>
          </cell>
          <cell r="H18">
            <v>2.27</v>
          </cell>
          <cell r="I18">
            <v>2.2200000000000002</v>
          </cell>
          <cell r="J18">
            <v>2.12</v>
          </cell>
          <cell r="K18">
            <v>2.0400715096345561</v>
          </cell>
          <cell r="L18">
            <v>1.98</v>
          </cell>
          <cell r="M18">
            <v>1.93</v>
          </cell>
          <cell r="N18">
            <v>2.9</v>
          </cell>
          <cell r="O18">
            <v>2.85</v>
          </cell>
          <cell r="P18">
            <v>2.79</v>
          </cell>
          <cell r="Q18">
            <v>2.73</v>
          </cell>
          <cell r="R18">
            <v>2.63</v>
          </cell>
          <cell r="S18">
            <v>2.5299999999999998</v>
          </cell>
          <cell r="T18">
            <v>2.5</v>
          </cell>
          <cell r="U18">
            <v>2.39</v>
          </cell>
          <cell r="V18">
            <v>2.2200000000000002</v>
          </cell>
          <cell r="AB18">
            <v>2.79</v>
          </cell>
          <cell r="AC18">
            <v>2.2200000000000002</v>
          </cell>
          <cell r="AD18">
            <v>2.4575059591362129</v>
          </cell>
          <cell r="AE18">
            <v>31</v>
          </cell>
          <cell r="AF18" t="str">
            <v>KY</v>
          </cell>
          <cell r="AG18">
            <v>1.08</v>
          </cell>
          <cell r="AH18">
            <v>1.05</v>
          </cell>
          <cell r="AI18">
            <v>0.97</v>
          </cell>
          <cell r="AJ18">
            <v>0.91</v>
          </cell>
          <cell r="AK18">
            <v>0.84</v>
          </cell>
          <cell r="AL18">
            <v>0.81</v>
          </cell>
          <cell r="AM18">
            <v>0.82</v>
          </cell>
          <cell r="AN18">
            <v>0.80682142667250534</v>
          </cell>
          <cell r="AO18">
            <v>0.8</v>
          </cell>
          <cell r="AP18">
            <v>0.8</v>
          </cell>
          <cell r="AQ18">
            <v>0.83</v>
          </cell>
          <cell r="AR18">
            <v>0.83</v>
          </cell>
          <cell r="AS18">
            <v>0.74</v>
          </cell>
          <cell r="AT18">
            <v>0.74</v>
          </cell>
          <cell r="AU18">
            <v>0.81</v>
          </cell>
          <cell r="AV18">
            <v>0.85</v>
          </cell>
          <cell r="AW18">
            <v>0.82</v>
          </cell>
          <cell r="AX18">
            <v>0.89</v>
          </cell>
          <cell r="AY18">
            <v>0.96</v>
          </cell>
          <cell r="BE18">
            <v>0.82306845222270886</v>
          </cell>
        </row>
        <row r="19">
          <cell r="A19" t="str">
            <v>LOUISIANA</v>
          </cell>
          <cell r="B19" t="str">
            <v>Apr</v>
          </cell>
          <cell r="C19" t="str">
            <v>LA</v>
          </cell>
          <cell r="D19">
            <v>2.39</v>
          </cell>
          <cell r="E19">
            <v>2.25</v>
          </cell>
          <cell r="F19">
            <v>2.17</v>
          </cell>
          <cell r="G19">
            <v>2.09</v>
          </cell>
          <cell r="H19">
            <v>2.02</v>
          </cell>
          <cell r="I19">
            <v>1.94</v>
          </cell>
          <cell r="J19">
            <v>1.86</v>
          </cell>
          <cell r="K19">
            <v>1.7774250275440142</v>
          </cell>
          <cell r="L19">
            <v>1.71</v>
          </cell>
          <cell r="M19">
            <v>2.68</v>
          </cell>
          <cell r="N19">
            <v>2.57</v>
          </cell>
          <cell r="O19">
            <v>2.4900000000000002</v>
          </cell>
          <cell r="P19">
            <v>2.34</v>
          </cell>
          <cell r="Q19">
            <v>2.25</v>
          </cell>
          <cell r="R19">
            <v>2.19</v>
          </cell>
          <cell r="S19">
            <v>2.14</v>
          </cell>
          <cell r="T19">
            <v>2.09</v>
          </cell>
          <cell r="U19">
            <v>2.0499999999999998</v>
          </cell>
          <cell r="V19">
            <v>1.95</v>
          </cell>
          <cell r="AB19">
            <v>2.34</v>
          </cell>
          <cell r="AC19">
            <v>1.95</v>
          </cell>
          <cell r="AD19">
            <v>2.1864520856286682</v>
          </cell>
          <cell r="AE19">
            <v>23</v>
          </cell>
          <cell r="AF19" t="str">
            <v>LA</v>
          </cell>
          <cell r="AG19">
            <v>0.84</v>
          </cell>
          <cell r="AH19">
            <v>0.87</v>
          </cell>
          <cell r="AI19">
            <v>0.88</v>
          </cell>
          <cell r="AJ19">
            <v>0.9</v>
          </cell>
          <cell r="AK19">
            <v>0.92</v>
          </cell>
          <cell r="AL19">
            <v>0.94</v>
          </cell>
          <cell r="AM19">
            <v>0.94</v>
          </cell>
          <cell r="AN19">
            <v>0.95698298791961978</v>
          </cell>
          <cell r="AO19">
            <v>0.97</v>
          </cell>
          <cell r="AP19">
            <v>1.1000000000000001</v>
          </cell>
          <cell r="AQ19">
            <v>1.1599999999999999</v>
          </cell>
          <cell r="AR19">
            <v>1.17</v>
          </cell>
          <cell r="AS19">
            <v>1.22</v>
          </cell>
          <cell r="AT19">
            <v>1.1599999999999999</v>
          </cell>
          <cell r="AU19">
            <v>1.1299999999999999</v>
          </cell>
          <cell r="AV19">
            <v>1.0900000000000001</v>
          </cell>
          <cell r="AW19">
            <v>1.08</v>
          </cell>
          <cell r="AX19">
            <v>1.02</v>
          </cell>
          <cell r="AY19">
            <v>1.04</v>
          </cell>
          <cell r="BE19">
            <v>1.0914152489933018</v>
          </cell>
        </row>
        <row r="20">
          <cell r="A20" t="str">
            <v>MAINE</v>
          </cell>
          <cell r="B20" t="str">
            <v>Jan</v>
          </cell>
          <cell r="C20" t="str">
            <v>ME</v>
          </cell>
          <cell r="D20">
            <v>1.86</v>
          </cell>
          <cell r="E20">
            <v>1.76</v>
          </cell>
          <cell r="F20">
            <v>1.64</v>
          </cell>
          <cell r="G20">
            <v>1.55</v>
          </cell>
          <cell r="H20">
            <v>1.45</v>
          </cell>
          <cell r="I20">
            <v>1.43</v>
          </cell>
          <cell r="J20">
            <v>1.36</v>
          </cell>
          <cell r="K20">
            <v>2.3145737290313879</v>
          </cell>
          <cell r="L20">
            <v>2.1800000000000002</v>
          </cell>
          <cell r="M20">
            <v>2.0499999999999998</v>
          </cell>
          <cell r="N20">
            <v>1.99</v>
          </cell>
          <cell r="O20">
            <v>1.9</v>
          </cell>
          <cell r="P20">
            <v>1.73</v>
          </cell>
          <cell r="Q20">
            <v>1.57</v>
          </cell>
          <cell r="R20">
            <v>1.44</v>
          </cell>
          <cell r="S20">
            <v>1.38</v>
          </cell>
          <cell r="T20">
            <v>1.32</v>
          </cell>
          <cell r="U20">
            <v>1.28</v>
          </cell>
          <cell r="V20">
            <v>1.23</v>
          </cell>
          <cell r="AB20">
            <v>1.73</v>
          </cell>
          <cell r="AC20">
            <v>1.23</v>
          </cell>
          <cell r="AD20">
            <v>1.6987144774192826</v>
          </cell>
          <cell r="AE20">
            <v>8</v>
          </cell>
          <cell r="AF20" t="str">
            <v>ME</v>
          </cell>
          <cell r="AG20">
            <v>1.19</v>
          </cell>
          <cell r="AH20">
            <v>1.08</v>
          </cell>
          <cell r="AI20">
            <v>1.05</v>
          </cell>
          <cell r="AJ20">
            <v>1.01</v>
          </cell>
          <cell r="AK20">
            <v>1.02</v>
          </cell>
          <cell r="AL20">
            <v>1</v>
          </cell>
          <cell r="AM20">
            <v>0.99</v>
          </cell>
          <cell r="AN20">
            <v>1.0412309016469785</v>
          </cell>
          <cell r="AO20">
            <v>1.08</v>
          </cell>
          <cell r="AP20">
            <v>1.08</v>
          </cell>
          <cell r="AQ20">
            <v>1.07</v>
          </cell>
          <cell r="AR20">
            <v>1.1200000000000001</v>
          </cell>
          <cell r="AS20">
            <v>1.2</v>
          </cell>
          <cell r="AT20">
            <v>1.24</v>
          </cell>
          <cell r="AU20">
            <v>1.25</v>
          </cell>
          <cell r="AV20">
            <v>1.21</v>
          </cell>
          <cell r="AW20">
            <v>1.17</v>
          </cell>
          <cell r="AX20">
            <v>1.19</v>
          </cell>
          <cell r="AY20">
            <v>1.17</v>
          </cell>
          <cell r="BE20">
            <v>1.1517692418039149</v>
          </cell>
        </row>
        <row r="21">
          <cell r="A21" t="str">
            <v>MARYLAND</v>
          </cell>
          <cell r="B21" t="str">
            <v>Jul</v>
          </cell>
          <cell r="C21" t="str">
            <v>MD</v>
          </cell>
          <cell r="D21">
            <v>2.59</v>
          </cell>
          <cell r="E21">
            <v>2.5499999999999998</v>
          </cell>
          <cell r="F21">
            <v>2.46</v>
          </cell>
          <cell r="G21">
            <v>2.35</v>
          </cell>
          <cell r="H21">
            <v>2.3199999999999998</v>
          </cell>
          <cell r="I21">
            <v>2.2400000000000002</v>
          </cell>
          <cell r="J21">
            <v>2.17</v>
          </cell>
          <cell r="K21">
            <v>2.0211701609425452</v>
          </cell>
          <cell r="L21">
            <v>1.97</v>
          </cell>
          <cell r="M21">
            <v>1.84</v>
          </cell>
          <cell r="N21">
            <v>1.75</v>
          </cell>
          <cell r="O21">
            <v>2.54</v>
          </cell>
          <cell r="P21">
            <v>2.4</v>
          </cell>
          <cell r="Q21">
            <v>2.25</v>
          </cell>
          <cell r="R21">
            <v>2.17</v>
          </cell>
          <cell r="S21">
            <v>2.0499999999999998</v>
          </cell>
          <cell r="T21">
            <v>1.97</v>
          </cell>
          <cell r="U21">
            <v>1.86</v>
          </cell>
          <cell r="V21">
            <v>1.7</v>
          </cell>
          <cell r="AB21">
            <v>2.4</v>
          </cell>
          <cell r="AC21">
            <v>1.7</v>
          </cell>
          <cell r="AD21">
            <v>2.043430846745212</v>
          </cell>
          <cell r="AE21">
            <v>17</v>
          </cell>
          <cell r="AF21" t="str">
            <v>MD</v>
          </cell>
          <cell r="AG21">
            <v>1.25</v>
          </cell>
          <cell r="AH21">
            <v>1.26</v>
          </cell>
          <cell r="AI21">
            <v>1.29</v>
          </cell>
          <cell r="AJ21">
            <v>1.35</v>
          </cell>
          <cell r="AK21">
            <v>1.29</v>
          </cell>
          <cell r="AL21">
            <v>1.3</v>
          </cell>
          <cell r="AM21">
            <v>1.22</v>
          </cell>
          <cell r="AN21">
            <v>1.2883483585929472</v>
          </cell>
          <cell r="AO21">
            <v>1.21</v>
          </cell>
          <cell r="AP21">
            <v>1.1200000000000001</v>
          </cell>
          <cell r="AQ21">
            <v>1.1000000000000001</v>
          </cell>
          <cell r="AR21">
            <v>1.23</v>
          </cell>
          <cell r="AS21">
            <v>1.27</v>
          </cell>
          <cell r="AT21">
            <v>1.38</v>
          </cell>
          <cell r="AU21">
            <v>1.35</v>
          </cell>
          <cell r="AV21">
            <v>1.36</v>
          </cell>
          <cell r="AW21">
            <v>1.42</v>
          </cell>
          <cell r="AX21">
            <v>1.44</v>
          </cell>
          <cell r="AY21">
            <v>1.53</v>
          </cell>
          <cell r="BE21">
            <v>1.3081956965494121</v>
          </cell>
        </row>
        <row r="22">
          <cell r="A22" t="str">
            <v>MASSACHUSETTS</v>
          </cell>
          <cell r="B22" t="str">
            <v>Apr</v>
          </cell>
          <cell r="C22" t="str">
            <v>MA</v>
          </cell>
          <cell r="D22">
            <v>2.0099999999999998</v>
          </cell>
          <cell r="E22">
            <v>1.94</v>
          </cell>
          <cell r="F22">
            <v>1.83</v>
          </cell>
          <cell r="G22">
            <v>1.73</v>
          </cell>
          <cell r="H22">
            <v>1.62</v>
          </cell>
          <cell r="I22">
            <v>1.55</v>
          </cell>
          <cell r="J22">
            <v>1.48</v>
          </cell>
          <cell r="K22">
            <v>2.4273271842924964</v>
          </cell>
          <cell r="L22">
            <v>2.33</v>
          </cell>
          <cell r="M22">
            <v>2.2200000000000002</v>
          </cell>
          <cell r="N22">
            <v>2.15</v>
          </cell>
          <cell r="O22">
            <v>2.06</v>
          </cell>
          <cell r="P22">
            <v>1.95</v>
          </cell>
          <cell r="Q22">
            <v>1.84</v>
          </cell>
          <cell r="R22">
            <v>1.75</v>
          </cell>
          <cell r="S22">
            <v>1.69</v>
          </cell>
          <cell r="T22">
            <v>1.61</v>
          </cell>
          <cell r="U22">
            <v>1.52</v>
          </cell>
          <cell r="V22">
            <v>1.46</v>
          </cell>
          <cell r="AB22">
            <v>1.95</v>
          </cell>
          <cell r="AC22">
            <v>1.46</v>
          </cell>
          <cell r="AD22">
            <v>1.9172772653577084</v>
          </cell>
          <cell r="AE22">
            <v>12</v>
          </cell>
          <cell r="AF22" t="str">
            <v>MA</v>
          </cell>
          <cell r="AG22">
            <v>1.08</v>
          </cell>
          <cell r="AH22">
            <v>1.05</v>
          </cell>
          <cell r="AI22">
            <v>1.05</v>
          </cell>
          <cell r="AJ22">
            <v>1.1000000000000001</v>
          </cell>
          <cell r="AK22">
            <v>1.1200000000000001</v>
          </cell>
          <cell r="AL22">
            <v>1.1100000000000001</v>
          </cell>
          <cell r="AM22">
            <v>1.1100000000000001</v>
          </cell>
          <cell r="AN22">
            <v>1.1982168163052285</v>
          </cell>
          <cell r="AO22">
            <v>1.1200000000000001</v>
          </cell>
          <cell r="AP22">
            <v>1.1100000000000001</v>
          </cell>
          <cell r="AQ22">
            <v>1.0900000000000001</v>
          </cell>
          <cell r="AR22">
            <v>1.0900000000000001</v>
          </cell>
          <cell r="AS22">
            <v>1.1100000000000001</v>
          </cell>
          <cell r="AT22">
            <v>1.1499999999999999</v>
          </cell>
          <cell r="AU22">
            <v>1.1200000000000001</v>
          </cell>
          <cell r="AV22">
            <v>1.08</v>
          </cell>
          <cell r="AW22">
            <v>1.07</v>
          </cell>
          <cell r="AX22">
            <v>1.07</v>
          </cell>
          <cell r="AY22">
            <v>1.06</v>
          </cell>
          <cell r="BE22">
            <v>1.1056847346921026</v>
          </cell>
        </row>
        <row r="23">
          <cell r="A23" t="str">
            <v>MICHIGAN</v>
          </cell>
          <cell r="B23" t="str">
            <v>Jan</v>
          </cell>
          <cell r="C23" t="str">
            <v>MI</v>
          </cell>
          <cell r="D23">
            <v>2.74</v>
          </cell>
          <cell r="E23">
            <v>2.67</v>
          </cell>
          <cell r="F23">
            <v>2.63</v>
          </cell>
          <cell r="G23">
            <v>2.5299999999999998</v>
          </cell>
          <cell r="H23">
            <v>2.4300000000000002</v>
          </cell>
          <cell r="I23">
            <v>2.25</v>
          </cell>
          <cell r="J23">
            <v>2.1800000000000002</v>
          </cell>
          <cell r="K23">
            <v>3.2145472801597998</v>
          </cell>
          <cell r="L23">
            <v>3.18</v>
          </cell>
          <cell r="M23">
            <v>3.1</v>
          </cell>
          <cell r="N23">
            <v>3.05</v>
          </cell>
          <cell r="O23">
            <v>2.84</v>
          </cell>
          <cell r="P23">
            <v>2.73</v>
          </cell>
          <cell r="Q23">
            <v>2.69</v>
          </cell>
          <cell r="R23">
            <v>2.68</v>
          </cell>
          <cell r="S23">
            <v>2.64</v>
          </cell>
          <cell r="T23">
            <v>2.62</v>
          </cell>
          <cell r="U23">
            <v>2.58</v>
          </cell>
          <cell r="V23">
            <v>2.57</v>
          </cell>
          <cell r="AB23">
            <v>2.73</v>
          </cell>
          <cell r="AC23">
            <v>2.57</v>
          </cell>
          <cell r="AD23">
            <v>2.8245456066799837</v>
          </cell>
          <cell r="AE23">
            <v>42</v>
          </cell>
          <cell r="AF23" t="str">
            <v>MI</v>
          </cell>
          <cell r="AG23">
            <v>1.21</v>
          </cell>
          <cell r="AH23">
            <v>1.1599999999999999</v>
          </cell>
          <cell r="AI23">
            <v>1.1399999999999999</v>
          </cell>
          <cell r="AJ23">
            <v>1.21</v>
          </cell>
          <cell r="AK23">
            <v>1.26</v>
          </cell>
          <cell r="AL23">
            <v>1.3</v>
          </cell>
          <cell r="AM23">
            <v>1.31</v>
          </cell>
          <cell r="AN23">
            <v>1.2807025317152687</v>
          </cell>
          <cell r="AO23">
            <v>1.18</v>
          </cell>
          <cell r="AP23">
            <v>1.18</v>
          </cell>
          <cell r="AQ23">
            <v>1.1499999999999999</v>
          </cell>
          <cell r="AR23">
            <v>1.26</v>
          </cell>
          <cell r="AS23">
            <v>1.1200000000000001</v>
          </cell>
          <cell r="AT23">
            <v>1.08</v>
          </cell>
          <cell r="AU23">
            <v>1.05</v>
          </cell>
          <cell r="AV23">
            <v>1.03</v>
          </cell>
          <cell r="AW23">
            <v>0.95</v>
          </cell>
          <cell r="AX23">
            <v>0.8</v>
          </cell>
          <cell r="AY23">
            <v>0.74</v>
          </cell>
          <cell r="BE23">
            <v>1.0683918776429391</v>
          </cell>
        </row>
        <row r="24">
          <cell r="A24" t="str">
            <v>MINNESOTA</v>
          </cell>
          <cell r="B24" t="str">
            <v>Oct</v>
          </cell>
          <cell r="C24" t="str">
            <v>MN</v>
          </cell>
          <cell r="D24">
            <v>1.83</v>
          </cell>
          <cell r="E24">
            <v>1.72</v>
          </cell>
          <cell r="F24">
            <v>1.59</v>
          </cell>
          <cell r="G24">
            <v>1.54</v>
          </cell>
          <cell r="H24">
            <v>1.47</v>
          </cell>
          <cell r="I24">
            <v>1.43</v>
          </cell>
          <cell r="J24">
            <v>1.37</v>
          </cell>
          <cell r="K24">
            <v>2.28871184555355</v>
          </cell>
          <cell r="L24">
            <v>2.2200000000000002</v>
          </cell>
          <cell r="M24">
            <v>2.09</v>
          </cell>
          <cell r="N24">
            <v>1.96</v>
          </cell>
          <cell r="O24">
            <v>1.85</v>
          </cell>
          <cell r="P24">
            <v>1.73</v>
          </cell>
          <cell r="Q24">
            <v>1.64</v>
          </cell>
          <cell r="R24">
            <v>1.48</v>
          </cell>
          <cell r="S24">
            <v>1.44</v>
          </cell>
          <cell r="T24">
            <v>1.4</v>
          </cell>
          <cell r="U24">
            <v>1.36</v>
          </cell>
          <cell r="V24">
            <v>1.32</v>
          </cell>
          <cell r="AB24">
            <v>1.73</v>
          </cell>
          <cell r="AC24">
            <v>1.32</v>
          </cell>
          <cell r="AD24">
            <v>1.7315593204627957</v>
          </cell>
          <cell r="AE24">
            <v>9</v>
          </cell>
          <cell r="AF24" t="str">
            <v>MN</v>
          </cell>
          <cell r="AG24">
            <v>1.41</v>
          </cell>
          <cell r="AH24">
            <v>1.43</v>
          </cell>
          <cell r="AI24">
            <v>1.35</v>
          </cell>
          <cell r="AJ24">
            <v>1.3</v>
          </cell>
          <cell r="AK24">
            <v>1.28</v>
          </cell>
          <cell r="AL24">
            <v>1.26</v>
          </cell>
          <cell r="AM24">
            <v>1.27</v>
          </cell>
          <cell r="AN24">
            <v>1.3127769238656999</v>
          </cell>
          <cell r="AO24">
            <v>1.22</v>
          </cell>
          <cell r="AP24">
            <v>1.26</v>
          </cell>
          <cell r="AQ24">
            <v>1.29</v>
          </cell>
          <cell r="AR24">
            <v>1.24</v>
          </cell>
          <cell r="AS24">
            <v>1.1499999999999999</v>
          </cell>
          <cell r="AT24">
            <v>1.1299999999999999</v>
          </cell>
          <cell r="AU24">
            <v>1.1499999999999999</v>
          </cell>
          <cell r="AV24">
            <v>1.1399999999999999</v>
          </cell>
          <cell r="AW24">
            <v>1.1100000000000001</v>
          </cell>
          <cell r="AX24">
            <v>1.1100000000000001</v>
          </cell>
          <cell r="AY24">
            <v>1.0900000000000001</v>
          </cell>
          <cell r="BE24">
            <v>1.183564743655475</v>
          </cell>
        </row>
        <row r="25">
          <cell r="A25" t="str">
            <v>MISSISSIPPI</v>
          </cell>
          <cell r="B25" t="str">
            <v>Jul</v>
          </cell>
          <cell r="C25" t="str">
            <v>MS</v>
          </cell>
          <cell r="D25">
            <v>2.4</v>
          </cell>
          <cell r="E25">
            <v>2.35</v>
          </cell>
          <cell r="F25">
            <v>2.23</v>
          </cell>
          <cell r="G25">
            <v>2.19</v>
          </cell>
          <cell r="H25">
            <v>2.09</v>
          </cell>
          <cell r="I25">
            <v>2.02</v>
          </cell>
          <cell r="J25">
            <v>1.97</v>
          </cell>
          <cell r="K25">
            <v>2.9699726676215183</v>
          </cell>
          <cell r="L25">
            <v>2.88</v>
          </cell>
          <cell r="M25">
            <v>2.81</v>
          </cell>
          <cell r="N25">
            <v>2.77</v>
          </cell>
          <cell r="O25">
            <v>2.68</v>
          </cell>
          <cell r="P25">
            <v>2.62</v>
          </cell>
          <cell r="Q25">
            <v>2.52</v>
          </cell>
          <cell r="R25">
            <v>2.42</v>
          </cell>
          <cell r="S25">
            <v>2.33</v>
          </cell>
          <cell r="T25">
            <v>2.25</v>
          </cell>
          <cell r="U25">
            <v>2.16</v>
          </cell>
          <cell r="V25">
            <v>2.08</v>
          </cell>
          <cell r="AB25">
            <v>2.62</v>
          </cell>
          <cell r="AC25">
            <v>2.08</v>
          </cell>
          <cell r="AD25">
            <v>2.5408310556351261</v>
          </cell>
          <cell r="AE25">
            <v>34</v>
          </cell>
          <cell r="AF25" t="str">
            <v>MS</v>
          </cell>
          <cell r="AG25">
            <v>1.1599999999999999</v>
          </cell>
          <cell r="AH25">
            <v>1.1499999999999999</v>
          </cell>
          <cell r="AI25">
            <v>1.1599999999999999</v>
          </cell>
          <cell r="AJ25">
            <v>1.1499999999999999</v>
          </cell>
          <cell r="AK25">
            <v>1.2</v>
          </cell>
          <cell r="AL25">
            <v>1.1499999999999999</v>
          </cell>
          <cell r="AM25">
            <v>1.1100000000000001</v>
          </cell>
          <cell r="AN25">
            <v>1.0848138634405549</v>
          </cell>
          <cell r="AO25">
            <v>1.06</v>
          </cell>
          <cell r="AP25">
            <v>1.04</v>
          </cell>
          <cell r="AQ25">
            <v>0.9</v>
          </cell>
          <cell r="AR25">
            <v>0.87</v>
          </cell>
          <cell r="AS25">
            <v>0.84</v>
          </cell>
          <cell r="AT25">
            <v>0.89</v>
          </cell>
          <cell r="AU25">
            <v>0.86</v>
          </cell>
          <cell r="AV25">
            <v>0.91</v>
          </cell>
          <cell r="AW25">
            <v>0.89</v>
          </cell>
          <cell r="AX25">
            <v>0.91</v>
          </cell>
          <cell r="AY25">
            <v>0.94</v>
          </cell>
          <cell r="BE25">
            <v>0.93290115528671291</v>
          </cell>
        </row>
        <row r="26">
          <cell r="A26" t="str">
            <v>MISSOURI</v>
          </cell>
          <cell r="B26" t="str">
            <v>Apr</v>
          </cell>
          <cell r="C26" t="str">
            <v>MO</v>
          </cell>
          <cell r="D26">
            <v>2.36</v>
          </cell>
          <cell r="E26">
            <v>2.27</v>
          </cell>
          <cell r="F26">
            <v>2.2200000000000002</v>
          </cell>
          <cell r="G26">
            <v>2.1800000000000002</v>
          </cell>
          <cell r="H26">
            <v>2.12</v>
          </cell>
          <cell r="I26">
            <v>2.1</v>
          </cell>
          <cell r="J26">
            <v>2.0499999999999998</v>
          </cell>
          <cell r="K26">
            <v>1.9802185959588978</v>
          </cell>
          <cell r="L26">
            <v>2.97</v>
          </cell>
          <cell r="M26">
            <v>2.91</v>
          </cell>
          <cell r="N26">
            <v>2.88</v>
          </cell>
          <cell r="O26">
            <v>2.77</v>
          </cell>
          <cell r="P26">
            <v>2.68</v>
          </cell>
          <cell r="Q26">
            <v>2.6</v>
          </cell>
          <cell r="R26">
            <v>2.4700000000000002</v>
          </cell>
          <cell r="S26">
            <v>2.4</v>
          </cell>
          <cell r="T26">
            <v>2.2799999999999998</v>
          </cell>
          <cell r="U26">
            <v>2.2200000000000002</v>
          </cell>
          <cell r="V26">
            <v>2.17</v>
          </cell>
          <cell r="AB26">
            <v>2.68</v>
          </cell>
          <cell r="AC26">
            <v>2.17</v>
          </cell>
          <cell r="AD26">
            <v>2.5275182163299079</v>
          </cell>
          <cell r="AE26">
            <v>32</v>
          </cell>
          <cell r="AF26" t="str">
            <v>MO</v>
          </cell>
          <cell r="AG26">
            <v>1.07</v>
          </cell>
          <cell r="AH26">
            <v>1.05</v>
          </cell>
          <cell r="AI26">
            <v>1.03</v>
          </cell>
          <cell r="AJ26">
            <v>0.98</v>
          </cell>
          <cell r="AK26">
            <v>0.98</v>
          </cell>
          <cell r="AL26">
            <v>0.91</v>
          </cell>
          <cell r="AM26">
            <v>0.91</v>
          </cell>
          <cell r="AN26">
            <v>0.94113726149687515</v>
          </cell>
          <cell r="AO26">
            <v>0.9</v>
          </cell>
          <cell r="AP26">
            <v>0.85</v>
          </cell>
          <cell r="AQ26">
            <v>0.75</v>
          </cell>
          <cell r="AR26">
            <v>0.77</v>
          </cell>
          <cell r="AS26">
            <v>0.75</v>
          </cell>
          <cell r="AT26">
            <v>0.73</v>
          </cell>
          <cell r="AU26">
            <v>0.81</v>
          </cell>
          <cell r="AV26">
            <v>0.84</v>
          </cell>
          <cell r="AW26">
            <v>0.89</v>
          </cell>
          <cell r="AX26">
            <v>0.94</v>
          </cell>
          <cell r="AY26">
            <v>0.94</v>
          </cell>
          <cell r="BE26">
            <v>0.84259477179140629</v>
          </cell>
        </row>
        <row r="27">
          <cell r="A27" t="str">
            <v>MONTANA</v>
          </cell>
          <cell r="B27" t="str">
            <v>Apr</v>
          </cell>
          <cell r="C27" t="str">
            <v>MT</v>
          </cell>
          <cell r="D27">
            <v>1.9</v>
          </cell>
          <cell r="E27">
            <v>1.85</v>
          </cell>
          <cell r="F27">
            <v>1.76</v>
          </cell>
          <cell r="G27">
            <v>1.72</v>
          </cell>
          <cell r="H27">
            <v>1.67</v>
          </cell>
          <cell r="I27">
            <v>1.65</v>
          </cell>
          <cell r="J27">
            <v>1.6</v>
          </cell>
          <cell r="K27">
            <v>2.5896991223208752</v>
          </cell>
          <cell r="L27">
            <v>2.5499999999999998</v>
          </cell>
          <cell r="M27">
            <v>2.4</v>
          </cell>
          <cell r="N27">
            <v>2.3199999999999998</v>
          </cell>
          <cell r="O27">
            <v>2.2400000000000002</v>
          </cell>
          <cell r="P27">
            <v>2.15</v>
          </cell>
          <cell r="Q27">
            <v>2.06</v>
          </cell>
          <cell r="R27">
            <v>1.84</v>
          </cell>
          <cell r="S27">
            <v>1.77</v>
          </cell>
          <cell r="T27">
            <v>1.76</v>
          </cell>
          <cell r="U27">
            <v>1.68</v>
          </cell>
          <cell r="V27">
            <v>1.6</v>
          </cell>
          <cell r="AB27">
            <v>2.15</v>
          </cell>
          <cell r="AC27">
            <v>1.6</v>
          </cell>
          <cell r="AD27">
            <v>2.0799749268600731</v>
          </cell>
          <cell r="AE27">
            <v>21</v>
          </cell>
          <cell r="AF27" t="str">
            <v>MT</v>
          </cell>
          <cell r="AG27">
            <v>1.05</v>
          </cell>
          <cell r="AH27">
            <v>0.95</v>
          </cell>
          <cell r="AI27">
            <v>0.89</v>
          </cell>
          <cell r="AJ27">
            <v>0.87</v>
          </cell>
          <cell r="AK27">
            <v>0.93</v>
          </cell>
          <cell r="AL27">
            <v>0.92</v>
          </cell>
          <cell r="AM27">
            <v>0.86</v>
          </cell>
          <cell r="AN27">
            <v>0.76768651533899879</v>
          </cell>
          <cell r="AO27">
            <v>0.7</v>
          </cell>
          <cell r="AP27">
            <v>0.82</v>
          </cell>
          <cell r="AQ27">
            <v>0.82</v>
          </cell>
          <cell r="AR27">
            <v>0.87</v>
          </cell>
          <cell r="AS27">
            <v>0.8</v>
          </cell>
          <cell r="AT27">
            <v>0.84</v>
          </cell>
          <cell r="AU27">
            <v>0.97</v>
          </cell>
          <cell r="AV27">
            <v>1</v>
          </cell>
          <cell r="AW27">
            <v>0.95</v>
          </cell>
          <cell r="AX27">
            <v>1.01</v>
          </cell>
          <cell r="AY27">
            <v>0.99</v>
          </cell>
          <cell r="BE27">
            <v>0.87814054294491639</v>
          </cell>
        </row>
        <row r="28">
          <cell r="A28" t="str">
            <v>NEBRASKA</v>
          </cell>
          <cell r="B28" t="str">
            <v>Jul</v>
          </cell>
          <cell r="C28" t="str">
            <v>NE</v>
          </cell>
          <cell r="D28">
            <v>2.48</v>
          </cell>
          <cell r="E28">
            <v>2.39</v>
          </cell>
          <cell r="F28">
            <v>2.2999999999999998</v>
          </cell>
          <cell r="G28">
            <v>2.2599999999999998</v>
          </cell>
          <cell r="H28">
            <v>2.23</v>
          </cell>
          <cell r="I28">
            <v>2.2000000000000002</v>
          </cell>
          <cell r="J28">
            <v>2.1800000000000002</v>
          </cell>
          <cell r="K28">
            <v>2.1527853918429716</v>
          </cell>
          <cell r="L28">
            <v>2.09</v>
          </cell>
          <cell r="M28">
            <v>2.02</v>
          </cell>
          <cell r="N28">
            <v>2.99</v>
          </cell>
          <cell r="O28">
            <v>2.92</v>
          </cell>
          <cell r="P28">
            <v>2.86</v>
          </cell>
          <cell r="Q28">
            <v>2.81</v>
          </cell>
          <cell r="R28">
            <v>2.73</v>
          </cell>
          <cell r="S28">
            <v>2.68</v>
          </cell>
          <cell r="T28">
            <v>2.61</v>
          </cell>
          <cell r="U28">
            <v>2.54</v>
          </cell>
          <cell r="V28">
            <v>2.48</v>
          </cell>
          <cell r="AB28">
            <v>2.86</v>
          </cell>
          <cell r="AC28">
            <v>2.48</v>
          </cell>
          <cell r="AD28">
            <v>2.5735654493202476</v>
          </cell>
          <cell r="AE28">
            <v>36</v>
          </cell>
          <cell r="AF28" t="str">
            <v>NE</v>
          </cell>
          <cell r="AG28">
            <v>0.77</v>
          </cell>
          <cell r="AH28">
            <v>0.78</v>
          </cell>
          <cell r="AI28">
            <v>0.78</v>
          </cell>
          <cell r="AJ28">
            <v>0.77</v>
          </cell>
          <cell r="AK28">
            <v>0.75</v>
          </cell>
          <cell r="AL28">
            <v>0.74</v>
          </cell>
          <cell r="AM28">
            <v>0.73</v>
          </cell>
          <cell r="AN28">
            <v>0.70682515408626623</v>
          </cell>
          <cell r="AO28">
            <v>0.71</v>
          </cell>
          <cell r="AP28">
            <v>0.68</v>
          </cell>
          <cell r="AQ28">
            <v>0.67</v>
          </cell>
          <cell r="AR28">
            <v>0.7</v>
          </cell>
          <cell r="AS28">
            <v>0.7</v>
          </cell>
          <cell r="AT28">
            <v>0.65</v>
          </cell>
          <cell r="AU28">
            <v>0.63</v>
          </cell>
          <cell r="AV28">
            <v>0.64</v>
          </cell>
          <cell r="AW28">
            <v>0.68</v>
          </cell>
          <cell r="AX28">
            <v>0.72</v>
          </cell>
          <cell r="AY28">
            <v>0.76</v>
          </cell>
          <cell r="BE28">
            <v>0.68723542950718886</v>
          </cell>
        </row>
        <row r="29">
          <cell r="A29" t="str">
            <v>NEVADA</v>
          </cell>
          <cell r="B29" t="str">
            <v>Jul</v>
          </cell>
          <cell r="C29" t="str">
            <v>NV</v>
          </cell>
          <cell r="D29">
            <v>2.06</v>
          </cell>
          <cell r="E29">
            <v>1.95</v>
          </cell>
          <cell r="F29">
            <v>1.91</v>
          </cell>
          <cell r="G29">
            <v>1.84</v>
          </cell>
          <cell r="H29">
            <v>1.8</v>
          </cell>
          <cell r="I29">
            <v>1.77</v>
          </cell>
          <cell r="J29">
            <v>1.71</v>
          </cell>
          <cell r="K29">
            <v>1.6463592791493487</v>
          </cell>
          <cell r="L29">
            <v>1.56</v>
          </cell>
          <cell r="M29">
            <v>1.5</v>
          </cell>
          <cell r="N29">
            <v>1.34</v>
          </cell>
          <cell r="O29">
            <v>2.27</v>
          </cell>
          <cell r="P29">
            <v>2.08</v>
          </cell>
          <cell r="Q29">
            <v>1.88</v>
          </cell>
          <cell r="R29">
            <v>1.85</v>
          </cell>
          <cell r="S29">
            <v>1.84</v>
          </cell>
          <cell r="T29">
            <v>1.69</v>
          </cell>
          <cell r="U29">
            <v>1.67</v>
          </cell>
          <cell r="V29">
            <v>1.51</v>
          </cell>
          <cell r="AB29">
            <v>2.08</v>
          </cell>
          <cell r="AC29">
            <v>1.51</v>
          </cell>
          <cell r="AD29">
            <v>1.7363632732624461</v>
          </cell>
          <cell r="AE29">
            <v>10</v>
          </cell>
          <cell r="AF29" t="str">
            <v>NV</v>
          </cell>
          <cell r="AG29">
            <v>1.1200000000000001</v>
          </cell>
          <cell r="AH29">
            <v>1.1200000000000001</v>
          </cell>
          <cell r="AI29">
            <v>1.1599999999999999</v>
          </cell>
          <cell r="AJ29">
            <v>1.1499999999999999</v>
          </cell>
          <cell r="AK29">
            <v>1.1499999999999999</v>
          </cell>
          <cell r="AL29">
            <v>1.06</v>
          </cell>
          <cell r="AM29">
            <v>0.9</v>
          </cell>
          <cell r="AN29">
            <v>0.81667262453461253</v>
          </cell>
          <cell r="AO29">
            <v>0.77</v>
          </cell>
          <cell r="AP29">
            <v>0.71</v>
          </cell>
          <cell r="AQ29">
            <v>0.79</v>
          </cell>
          <cell r="AR29">
            <v>0.87</v>
          </cell>
          <cell r="AS29">
            <v>1.03</v>
          </cell>
          <cell r="AT29">
            <v>1.1200000000000001</v>
          </cell>
          <cell r="AU29">
            <v>1.1100000000000001</v>
          </cell>
          <cell r="AV29">
            <v>1.03</v>
          </cell>
          <cell r="AW29">
            <v>1.1499999999999999</v>
          </cell>
          <cell r="AX29">
            <v>1.1399999999999999</v>
          </cell>
          <cell r="AY29">
            <v>1.24</v>
          </cell>
          <cell r="BE29">
            <v>0.98138938537788445</v>
          </cell>
        </row>
        <row r="30">
          <cell r="A30" t="str">
            <v>NEW HAMPSHIRE</v>
          </cell>
          <cell r="B30" t="str">
            <v>Jan</v>
          </cell>
          <cell r="C30" t="str">
            <v>NH</v>
          </cell>
          <cell r="D30">
            <v>1.75</v>
          </cell>
          <cell r="E30">
            <v>1.62</v>
          </cell>
          <cell r="F30">
            <v>1.44</v>
          </cell>
          <cell r="G30">
            <v>1.42</v>
          </cell>
          <cell r="H30">
            <v>1.37</v>
          </cell>
          <cell r="I30">
            <v>1.21</v>
          </cell>
          <cell r="J30">
            <v>1.1299999999999999</v>
          </cell>
          <cell r="K30">
            <v>2.1295713366455908</v>
          </cell>
          <cell r="L30">
            <v>2.02</v>
          </cell>
          <cell r="M30">
            <v>1.97</v>
          </cell>
          <cell r="N30">
            <v>1.83</v>
          </cell>
          <cell r="O30">
            <v>1.76</v>
          </cell>
          <cell r="P30">
            <v>1.62</v>
          </cell>
          <cell r="Q30">
            <v>1.55</v>
          </cell>
          <cell r="R30">
            <v>1.47</v>
          </cell>
          <cell r="S30">
            <v>1.38</v>
          </cell>
          <cell r="T30">
            <v>1.2</v>
          </cell>
          <cell r="U30">
            <v>1.1499999999999999</v>
          </cell>
          <cell r="V30">
            <v>1.07</v>
          </cell>
          <cell r="AB30">
            <v>1.62</v>
          </cell>
          <cell r="AC30">
            <v>1.07</v>
          </cell>
          <cell r="AD30">
            <v>1.5957976113871328</v>
          </cell>
          <cell r="AE30">
            <v>7</v>
          </cell>
          <cell r="AF30" t="str">
            <v>NH</v>
          </cell>
          <cell r="AG30">
            <v>0.98</v>
          </cell>
          <cell r="AH30">
            <v>0.97</v>
          </cell>
          <cell r="AI30">
            <v>1.0900000000000001</v>
          </cell>
          <cell r="AJ30">
            <v>1.0900000000000001</v>
          </cell>
          <cell r="AK30">
            <v>1.04</v>
          </cell>
          <cell r="AL30">
            <v>1.1100000000000001</v>
          </cell>
          <cell r="AM30">
            <v>1</v>
          </cell>
          <cell r="AN30">
            <v>1.019847939776096</v>
          </cell>
          <cell r="AO30">
            <v>1.07</v>
          </cell>
          <cell r="AP30">
            <v>1.06</v>
          </cell>
          <cell r="AQ30">
            <v>1.1599999999999999</v>
          </cell>
          <cell r="AR30">
            <v>1.1000000000000001</v>
          </cell>
          <cell r="AS30">
            <v>1.18</v>
          </cell>
          <cell r="AT30">
            <v>1.1100000000000001</v>
          </cell>
          <cell r="AU30">
            <v>1.01</v>
          </cell>
          <cell r="AV30">
            <v>1.0900000000000001</v>
          </cell>
          <cell r="AW30">
            <v>1.21</v>
          </cell>
          <cell r="AX30">
            <v>1.0900000000000001</v>
          </cell>
          <cell r="AY30">
            <v>1.1000000000000001</v>
          </cell>
          <cell r="BE30">
            <v>1.0999873283146748</v>
          </cell>
        </row>
        <row r="31">
          <cell r="A31" t="str">
            <v>NEW JERSEY</v>
          </cell>
          <cell r="B31" t="str">
            <v>Jul</v>
          </cell>
          <cell r="C31" t="str">
            <v>NJ</v>
          </cell>
          <cell r="D31">
            <v>3.33</v>
          </cell>
          <cell r="E31">
            <v>3.19</v>
          </cell>
          <cell r="F31">
            <v>3.12</v>
          </cell>
          <cell r="G31">
            <v>3.04</v>
          </cell>
          <cell r="H31">
            <v>2.99</v>
          </cell>
          <cell r="I31">
            <v>2.94</v>
          </cell>
          <cell r="J31">
            <v>2.86</v>
          </cell>
          <cell r="K31">
            <v>2.8001643974073716</v>
          </cell>
          <cell r="L31">
            <v>2.71</v>
          </cell>
          <cell r="M31">
            <v>2.62</v>
          </cell>
          <cell r="N31">
            <v>2.5099999999999998</v>
          </cell>
          <cell r="O31">
            <v>3.82</v>
          </cell>
          <cell r="P31">
            <v>3.66</v>
          </cell>
          <cell r="Q31">
            <v>3.64</v>
          </cell>
          <cell r="R31">
            <v>3.35</v>
          </cell>
          <cell r="S31">
            <v>3.26</v>
          </cell>
          <cell r="T31">
            <v>3.21</v>
          </cell>
          <cell r="U31">
            <v>3.13</v>
          </cell>
          <cell r="V31">
            <v>3.03</v>
          </cell>
          <cell r="AB31">
            <v>3.66</v>
          </cell>
          <cell r="AC31">
            <v>3.03</v>
          </cell>
          <cell r="AD31">
            <v>3.1450136997839482</v>
          </cell>
          <cell r="AE31">
            <v>50</v>
          </cell>
          <cell r="AF31" t="str">
            <v>NJ</v>
          </cell>
          <cell r="AG31">
            <v>1.31</v>
          </cell>
          <cell r="AH31">
            <v>1.33</v>
          </cell>
          <cell r="AI31">
            <v>1.26</v>
          </cell>
          <cell r="AJ31">
            <v>1.32</v>
          </cell>
          <cell r="AK31">
            <v>1.37</v>
          </cell>
          <cell r="AL31">
            <v>1.31</v>
          </cell>
          <cell r="AM31">
            <v>1.04</v>
          </cell>
          <cell r="AN31">
            <v>1.0202050065162838</v>
          </cell>
          <cell r="AO31">
            <v>0.89</v>
          </cell>
          <cell r="AP31">
            <v>0.98</v>
          </cell>
          <cell r="AQ31">
            <v>0.94</v>
          </cell>
          <cell r="AR31">
            <v>1.08</v>
          </cell>
          <cell r="AS31">
            <v>1.2</v>
          </cell>
          <cell r="AT31">
            <v>1.05</v>
          </cell>
          <cell r="AU31">
            <v>1.26</v>
          </cell>
          <cell r="AV31">
            <v>1.26</v>
          </cell>
          <cell r="AW31">
            <v>1.25</v>
          </cell>
          <cell r="AX31">
            <v>1.28</v>
          </cell>
          <cell r="AY31">
            <v>1.28</v>
          </cell>
          <cell r="BE31">
            <v>1.1241837505430234</v>
          </cell>
        </row>
        <row r="32">
          <cell r="A32" t="str">
            <v>NEW MEXICO</v>
          </cell>
          <cell r="B32" t="str">
            <v>Jan</v>
          </cell>
          <cell r="C32" t="str">
            <v>NM</v>
          </cell>
          <cell r="D32">
            <v>2.09</v>
          </cell>
          <cell r="E32">
            <v>1.9</v>
          </cell>
          <cell r="F32">
            <v>1.82</v>
          </cell>
          <cell r="G32">
            <v>1.76</v>
          </cell>
          <cell r="H32">
            <v>1.63</v>
          </cell>
          <cell r="I32">
            <v>1.57</v>
          </cell>
          <cell r="J32">
            <v>1.5</v>
          </cell>
          <cell r="K32">
            <v>2.4736691826964425</v>
          </cell>
          <cell r="L32">
            <v>2.4300000000000002</v>
          </cell>
          <cell r="M32">
            <v>2.39</v>
          </cell>
          <cell r="N32">
            <v>2.31</v>
          </cell>
          <cell r="O32">
            <v>2.19</v>
          </cell>
          <cell r="P32">
            <v>2.13</v>
          </cell>
          <cell r="Q32">
            <v>2.0699999999999998</v>
          </cell>
          <cell r="R32">
            <v>1.96</v>
          </cell>
          <cell r="S32">
            <v>1.75</v>
          </cell>
          <cell r="T32">
            <v>1.72</v>
          </cell>
          <cell r="U32">
            <v>1.64</v>
          </cell>
          <cell r="V32">
            <v>1.55</v>
          </cell>
          <cell r="AB32">
            <v>2.13</v>
          </cell>
          <cell r="AC32">
            <v>1.55</v>
          </cell>
          <cell r="AD32">
            <v>2.0511390985580369</v>
          </cell>
          <cell r="AE32">
            <v>18</v>
          </cell>
          <cell r="AF32" t="str">
            <v>NM</v>
          </cell>
          <cell r="AG32">
            <v>0.78</v>
          </cell>
          <cell r="AH32">
            <v>0.87</v>
          </cell>
          <cell r="AI32">
            <v>0.77</v>
          </cell>
          <cell r="AJ32">
            <v>0.8</v>
          </cell>
          <cell r="AK32">
            <v>0.9</v>
          </cell>
          <cell r="AL32">
            <v>0.91</v>
          </cell>
          <cell r="AM32">
            <v>0.97</v>
          </cell>
          <cell r="AN32">
            <v>1.0562666708527162</v>
          </cell>
          <cell r="AO32">
            <v>1.1000000000000001</v>
          </cell>
          <cell r="AP32">
            <v>1.1399999999999999</v>
          </cell>
          <cell r="AQ32">
            <v>1.22</v>
          </cell>
          <cell r="AR32">
            <v>1.3</v>
          </cell>
          <cell r="AS32">
            <v>1.02</v>
          </cell>
          <cell r="AT32">
            <v>0.89</v>
          </cell>
          <cell r="AU32">
            <v>0.91</v>
          </cell>
          <cell r="AV32">
            <v>1.05</v>
          </cell>
          <cell r="AW32">
            <v>0.95</v>
          </cell>
          <cell r="AX32">
            <v>0.98</v>
          </cell>
          <cell r="AY32">
            <v>0.99</v>
          </cell>
          <cell r="BE32">
            <v>1.0505222225710595</v>
          </cell>
        </row>
        <row r="33">
          <cell r="A33" t="str">
            <v>NEW YORK</v>
          </cell>
          <cell r="B33" t="str">
            <v>Jan</v>
          </cell>
          <cell r="C33" t="str">
            <v>NY</v>
          </cell>
          <cell r="D33">
            <v>2</v>
          </cell>
          <cell r="E33">
            <v>1.91</v>
          </cell>
          <cell r="F33">
            <v>1.83</v>
          </cell>
          <cell r="G33">
            <v>1.74</v>
          </cell>
          <cell r="H33">
            <v>1.67</v>
          </cell>
          <cell r="I33">
            <v>1.61</v>
          </cell>
          <cell r="J33">
            <v>1.55</v>
          </cell>
          <cell r="K33">
            <v>2.5319133459691647</v>
          </cell>
          <cell r="L33">
            <v>2.48</v>
          </cell>
          <cell r="M33">
            <v>2.42</v>
          </cell>
          <cell r="N33">
            <v>2.33</v>
          </cell>
          <cell r="O33">
            <v>2.19</v>
          </cell>
          <cell r="P33">
            <v>2.06</v>
          </cell>
          <cell r="Q33">
            <v>1.96</v>
          </cell>
          <cell r="R33">
            <v>1.83</v>
          </cell>
          <cell r="S33">
            <v>1.75</v>
          </cell>
          <cell r="T33">
            <v>1.71</v>
          </cell>
          <cell r="U33">
            <v>1.64</v>
          </cell>
          <cell r="V33">
            <v>1.6</v>
          </cell>
          <cell r="AB33">
            <v>2.06</v>
          </cell>
          <cell r="AC33">
            <v>1.6</v>
          </cell>
          <cell r="AD33">
            <v>2.041826112164097</v>
          </cell>
          <cell r="AE33">
            <v>16</v>
          </cell>
          <cell r="AF33" t="str">
            <v>NY</v>
          </cell>
          <cell r="AG33">
            <v>1.08</v>
          </cell>
          <cell r="AH33">
            <v>1.1000000000000001</v>
          </cell>
          <cell r="AI33">
            <v>1.0900000000000001</v>
          </cell>
          <cell r="AJ33">
            <v>1.1200000000000001</v>
          </cell>
          <cell r="AK33">
            <v>1.0900000000000001</v>
          </cell>
          <cell r="AL33">
            <v>1.0900000000000001</v>
          </cell>
          <cell r="AM33">
            <v>1.0900000000000001</v>
          </cell>
          <cell r="AN33">
            <v>1.0887583060621489</v>
          </cell>
          <cell r="AO33">
            <v>1.08</v>
          </cell>
          <cell r="AP33">
            <v>1.04</v>
          </cell>
          <cell r="AQ33">
            <v>1.04</v>
          </cell>
          <cell r="AR33">
            <v>1.01</v>
          </cell>
          <cell r="AS33">
            <v>1</v>
          </cell>
          <cell r="AT33">
            <v>1</v>
          </cell>
          <cell r="AU33">
            <v>1.04</v>
          </cell>
          <cell r="AV33">
            <v>1.03</v>
          </cell>
          <cell r="AW33">
            <v>1.01</v>
          </cell>
          <cell r="AX33">
            <v>1.01</v>
          </cell>
          <cell r="AY33">
            <v>0.99</v>
          </cell>
          <cell r="BE33">
            <v>1.0282298588385121</v>
          </cell>
        </row>
        <row r="34">
          <cell r="A34" t="str">
            <v>NORTH CAROLINA</v>
          </cell>
          <cell r="B34" t="str">
            <v>Jan</v>
          </cell>
          <cell r="C34" t="str">
            <v>NC</v>
          </cell>
          <cell r="D34">
            <v>2.83</v>
          </cell>
          <cell r="E34">
            <v>2.78</v>
          </cell>
          <cell r="F34">
            <v>2.64</v>
          </cell>
          <cell r="G34">
            <v>2.57</v>
          </cell>
          <cell r="H34">
            <v>2.52</v>
          </cell>
          <cell r="I34">
            <v>2.46</v>
          </cell>
          <cell r="J34">
            <v>2.35</v>
          </cell>
          <cell r="K34">
            <v>3.3001657729778202</v>
          </cell>
          <cell r="L34">
            <v>3.21</v>
          </cell>
          <cell r="M34">
            <v>3.12</v>
          </cell>
          <cell r="N34">
            <v>3.07</v>
          </cell>
          <cell r="O34">
            <v>2.95</v>
          </cell>
          <cell r="P34">
            <v>2.88</v>
          </cell>
          <cell r="Q34">
            <v>2.84</v>
          </cell>
          <cell r="R34">
            <v>2.73</v>
          </cell>
          <cell r="S34">
            <v>2.65</v>
          </cell>
          <cell r="T34">
            <v>2.56</v>
          </cell>
          <cell r="U34">
            <v>2.46</v>
          </cell>
          <cell r="V34">
            <v>2.38</v>
          </cell>
          <cell r="AB34">
            <v>2.88</v>
          </cell>
          <cell r="AC34">
            <v>2.38</v>
          </cell>
          <cell r="AD34">
            <v>2.845847147748152</v>
          </cell>
          <cell r="AE34">
            <v>43</v>
          </cell>
          <cell r="AF34" t="str">
            <v>NC</v>
          </cell>
          <cell r="AG34">
            <v>0.88</v>
          </cell>
          <cell r="AH34">
            <v>0.85</v>
          </cell>
          <cell r="AI34">
            <v>0.9</v>
          </cell>
          <cell r="AJ34">
            <v>0.87</v>
          </cell>
          <cell r="AK34">
            <v>0.87</v>
          </cell>
          <cell r="AL34">
            <v>0.88</v>
          </cell>
          <cell r="AM34">
            <v>0.93</v>
          </cell>
          <cell r="AN34">
            <v>0.95337150360258771</v>
          </cell>
          <cell r="AO34">
            <v>0.95</v>
          </cell>
          <cell r="AP34">
            <v>0.96</v>
          </cell>
          <cell r="AQ34">
            <v>0.96</v>
          </cell>
          <cell r="AR34">
            <v>1</v>
          </cell>
          <cell r="AS34">
            <v>1.01</v>
          </cell>
          <cell r="AT34">
            <v>1</v>
          </cell>
          <cell r="AU34">
            <v>0.97</v>
          </cell>
          <cell r="AV34">
            <v>0.98</v>
          </cell>
          <cell r="AW34">
            <v>1.01</v>
          </cell>
          <cell r="AX34">
            <v>1.03</v>
          </cell>
          <cell r="AY34">
            <v>1.02</v>
          </cell>
          <cell r="BE34">
            <v>0.9869476253002154</v>
          </cell>
        </row>
        <row r="35">
          <cell r="A35" t="str">
            <v>NORTH DAKOTA</v>
          </cell>
          <cell r="B35" t="str">
            <v>Apr</v>
          </cell>
          <cell r="C35" t="str">
            <v>ND</v>
          </cell>
          <cell r="D35">
            <v>2</v>
          </cell>
          <cell r="E35">
            <v>1.85</v>
          </cell>
          <cell r="F35">
            <v>1.76</v>
          </cell>
          <cell r="G35">
            <v>1.62</v>
          </cell>
          <cell r="H35">
            <v>1.62</v>
          </cell>
          <cell r="I35">
            <v>1.57</v>
          </cell>
          <cell r="J35">
            <v>1.54</v>
          </cell>
          <cell r="K35">
            <v>2.5608995825898715</v>
          </cell>
          <cell r="L35">
            <v>2.4500000000000002</v>
          </cell>
          <cell r="M35">
            <v>2.41</v>
          </cell>
          <cell r="N35">
            <v>2.36</v>
          </cell>
          <cell r="O35">
            <v>2.2799999999999998</v>
          </cell>
          <cell r="P35">
            <v>2.14</v>
          </cell>
          <cell r="Q35">
            <v>1.95</v>
          </cell>
          <cell r="R35">
            <v>1.83</v>
          </cell>
          <cell r="S35">
            <v>1.78</v>
          </cell>
          <cell r="T35">
            <v>1.72</v>
          </cell>
          <cell r="U35">
            <v>1.64</v>
          </cell>
          <cell r="V35">
            <v>1.58</v>
          </cell>
          <cell r="AB35">
            <v>2.14</v>
          </cell>
          <cell r="AC35">
            <v>1.58</v>
          </cell>
          <cell r="AD35">
            <v>2.0584082985491556</v>
          </cell>
          <cell r="AE35">
            <v>19</v>
          </cell>
          <cell r="AF35" t="str">
            <v>ND</v>
          </cell>
          <cell r="AG35">
            <v>1.07</v>
          </cell>
          <cell r="AH35">
            <v>1.05</v>
          </cell>
          <cell r="AI35">
            <v>0.95</v>
          </cell>
          <cell r="AJ35">
            <v>1.02</v>
          </cell>
          <cell r="AK35">
            <v>1</v>
          </cell>
          <cell r="AL35">
            <v>1.02</v>
          </cell>
          <cell r="AM35">
            <v>1.02</v>
          </cell>
          <cell r="AN35">
            <v>1.0593246488205175</v>
          </cell>
          <cell r="AO35">
            <v>1.1399999999999999</v>
          </cell>
          <cell r="AP35">
            <v>1.08</v>
          </cell>
          <cell r="AQ35">
            <v>1.05</v>
          </cell>
          <cell r="AR35">
            <v>0.98</v>
          </cell>
          <cell r="AS35">
            <v>0.92</v>
          </cell>
          <cell r="AT35">
            <v>0.96</v>
          </cell>
          <cell r="AU35">
            <v>0.98</v>
          </cell>
          <cell r="AV35">
            <v>0.89</v>
          </cell>
          <cell r="AW35">
            <v>0.94</v>
          </cell>
          <cell r="AX35">
            <v>0.98</v>
          </cell>
          <cell r="AY35">
            <v>1</v>
          </cell>
          <cell r="BE35">
            <v>0.99827705406837641</v>
          </cell>
        </row>
        <row r="36">
          <cell r="A36" t="str">
            <v>OHIO</v>
          </cell>
          <cell r="B36" t="str">
            <v>Jul</v>
          </cell>
          <cell r="C36" t="str">
            <v>OH</v>
          </cell>
          <cell r="D36">
            <v>1.78</v>
          </cell>
          <cell r="E36">
            <v>1.67</v>
          </cell>
          <cell r="F36">
            <v>1.61</v>
          </cell>
          <cell r="G36">
            <v>1.49</v>
          </cell>
          <cell r="H36">
            <v>1.44</v>
          </cell>
          <cell r="I36">
            <v>1.35</v>
          </cell>
          <cell r="J36">
            <v>1.31</v>
          </cell>
          <cell r="K36">
            <v>1.2473784473530194</v>
          </cell>
          <cell r="L36">
            <v>1.1100000000000001</v>
          </cell>
          <cell r="M36">
            <v>1.05</v>
          </cell>
          <cell r="N36">
            <v>2.02</v>
          </cell>
          <cell r="O36">
            <v>1.96</v>
          </cell>
          <cell r="P36">
            <v>1.91</v>
          </cell>
          <cell r="Q36">
            <v>1.82</v>
          </cell>
          <cell r="R36">
            <v>1.7</v>
          </cell>
          <cell r="S36">
            <v>1.65</v>
          </cell>
          <cell r="T36">
            <v>1.56</v>
          </cell>
          <cell r="U36">
            <v>1.47</v>
          </cell>
          <cell r="V36">
            <v>1.41</v>
          </cell>
          <cell r="AB36">
            <v>1.91</v>
          </cell>
          <cell r="AC36">
            <v>1.41</v>
          </cell>
          <cell r="AD36">
            <v>1.5756148706127515</v>
          </cell>
          <cell r="AE36">
            <v>6</v>
          </cell>
          <cell r="AF36" t="str">
            <v>OH</v>
          </cell>
          <cell r="AG36">
            <v>1.21</v>
          </cell>
          <cell r="AH36">
            <v>1.22</v>
          </cell>
          <cell r="AI36">
            <v>1.1399999999999999</v>
          </cell>
          <cell r="AJ36">
            <v>1.1299999999999999</v>
          </cell>
          <cell r="AK36">
            <v>1.1200000000000001</v>
          </cell>
          <cell r="AL36">
            <v>1.1100000000000001</v>
          </cell>
          <cell r="AM36">
            <v>1.07</v>
          </cell>
          <cell r="AN36">
            <v>0.9881517838076832</v>
          </cell>
          <cell r="AO36">
            <v>0.89</v>
          </cell>
          <cell r="AP36">
            <v>0.94</v>
          </cell>
          <cell r="AQ36">
            <v>0.99</v>
          </cell>
          <cell r="AR36">
            <v>0.98</v>
          </cell>
          <cell r="AS36">
            <v>0.93</v>
          </cell>
          <cell r="AT36">
            <v>0.9</v>
          </cell>
          <cell r="AU36">
            <v>0.96</v>
          </cell>
          <cell r="AV36">
            <v>0.89</v>
          </cell>
          <cell r="AW36">
            <v>0.92</v>
          </cell>
          <cell r="AX36">
            <v>0.91</v>
          </cell>
          <cell r="AY36">
            <v>0.93</v>
          </cell>
          <cell r="BE36">
            <v>0.93567931531730686</v>
          </cell>
        </row>
        <row r="37">
          <cell r="A37" t="str">
            <v>OKLAHOMA</v>
          </cell>
          <cell r="B37" t="str">
            <v>Apr</v>
          </cell>
          <cell r="C37" t="str">
            <v>OK</v>
          </cell>
          <cell r="D37">
            <v>2.58</v>
          </cell>
          <cell r="E37">
            <v>2.5299999999999998</v>
          </cell>
          <cell r="F37">
            <v>2.46</v>
          </cell>
          <cell r="G37">
            <v>2.36</v>
          </cell>
          <cell r="H37">
            <v>2.29</v>
          </cell>
          <cell r="I37">
            <v>2.25</v>
          </cell>
          <cell r="J37">
            <v>2.17</v>
          </cell>
          <cell r="K37">
            <v>3.2506478907101095</v>
          </cell>
          <cell r="L37">
            <v>3.16</v>
          </cell>
          <cell r="M37">
            <v>3.03</v>
          </cell>
          <cell r="N37">
            <v>2.88</v>
          </cell>
          <cell r="O37">
            <v>2.74</v>
          </cell>
          <cell r="P37">
            <v>2.62</v>
          </cell>
          <cell r="Q37">
            <v>2.5099999999999998</v>
          </cell>
          <cell r="R37">
            <v>2.39</v>
          </cell>
          <cell r="S37">
            <v>2.29</v>
          </cell>
          <cell r="T37">
            <v>2.2200000000000002</v>
          </cell>
          <cell r="U37">
            <v>2.15</v>
          </cell>
          <cell r="V37">
            <v>2.08</v>
          </cell>
          <cell r="AB37">
            <v>2.62</v>
          </cell>
          <cell r="AC37">
            <v>2.08</v>
          </cell>
          <cell r="AD37">
            <v>2.6100539908925087</v>
          </cell>
          <cell r="AE37">
            <v>37</v>
          </cell>
          <cell r="AF37" t="str">
            <v>OK</v>
          </cell>
          <cell r="AG37">
            <v>0.82</v>
          </cell>
          <cell r="AH37">
            <v>0.81</v>
          </cell>
          <cell r="AI37">
            <v>0.73</v>
          </cell>
          <cell r="AJ37">
            <v>0.78</v>
          </cell>
          <cell r="AK37">
            <v>0.8</v>
          </cell>
          <cell r="AL37">
            <v>0.78</v>
          </cell>
          <cell r="AM37">
            <v>0.81</v>
          </cell>
          <cell r="AN37">
            <v>0.89667617485380846</v>
          </cell>
          <cell r="AO37">
            <v>0.92</v>
          </cell>
          <cell r="AP37">
            <v>0.98</v>
          </cell>
          <cell r="AQ37">
            <v>1.06</v>
          </cell>
          <cell r="AR37">
            <v>1.1299999999999999</v>
          </cell>
          <cell r="AS37">
            <v>1.19</v>
          </cell>
          <cell r="AT37">
            <v>1.23</v>
          </cell>
          <cell r="AU37">
            <v>1.29</v>
          </cell>
          <cell r="AV37">
            <v>1.27</v>
          </cell>
          <cell r="AW37">
            <v>1.27</v>
          </cell>
          <cell r="AX37">
            <v>1.29</v>
          </cell>
          <cell r="AY37">
            <v>1.27</v>
          </cell>
          <cell r="BE37">
            <v>1.1497230145711506</v>
          </cell>
        </row>
        <row r="38">
          <cell r="A38" t="str">
            <v>OREGON</v>
          </cell>
          <cell r="B38" t="str">
            <v>Jan</v>
          </cell>
          <cell r="C38" t="str">
            <v>OR</v>
          </cell>
          <cell r="D38">
            <v>2.94</v>
          </cell>
          <cell r="E38">
            <v>2.83</v>
          </cell>
          <cell r="F38">
            <v>2.71</v>
          </cell>
          <cell r="G38">
            <v>2.5499999999999998</v>
          </cell>
          <cell r="H38">
            <v>2.4700000000000002</v>
          </cell>
          <cell r="I38">
            <v>2.39</v>
          </cell>
          <cell r="J38">
            <v>2.31</v>
          </cell>
          <cell r="K38">
            <v>3.2748426412260132</v>
          </cell>
          <cell r="L38">
            <v>3.23</v>
          </cell>
          <cell r="M38">
            <v>3.15</v>
          </cell>
          <cell r="N38">
            <v>3.05</v>
          </cell>
          <cell r="O38">
            <v>2.98</v>
          </cell>
          <cell r="P38">
            <v>2.88</v>
          </cell>
          <cell r="Q38">
            <v>2.82</v>
          </cell>
          <cell r="R38">
            <v>2.74</v>
          </cell>
          <cell r="S38">
            <v>2.66</v>
          </cell>
          <cell r="T38">
            <v>2.54</v>
          </cell>
          <cell r="U38">
            <v>2.4700000000000002</v>
          </cell>
          <cell r="V38">
            <v>2.41</v>
          </cell>
          <cell r="AB38">
            <v>2.88</v>
          </cell>
          <cell r="AC38">
            <v>2.41</v>
          </cell>
          <cell r="AD38">
            <v>2.8504035534355006</v>
          </cell>
          <cell r="AE38">
            <v>44</v>
          </cell>
          <cell r="AF38" t="str">
            <v>OR</v>
          </cell>
          <cell r="AG38">
            <v>1</v>
          </cell>
          <cell r="AH38">
            <v>1.04</v>
          </cell>
          <cell r="AI38">
            <v>1.1000000000000001</v>
          </cell>
          <cell r="AJ38">
            <v>1.17</v>
          </cell>
          <cell r="AK38">
            <v>1.22</v>
          </cell>
          <cell r="AL38">
            <v>1.1499999999999999</v>
          </cell>
          <cell r="AM38">
            <v>1.1499999999999999</v>
          </cell>
          <cell r="AN38">
            <v>1.1348039409752955</v>
          </cell>
          <cell r="AO38">
            <v>1.1299999999999999</v>
          </cell>
          <cell r="AP38">
            <v>1.1000000000000001</v>
          </cell>
          <cell r="AQ38">
            <v>1.08</v>
          </cell>
          <cell r="AR38">
            <v>1.05</v>
          </cell>
          <cell r="AS38">
            <v>1.1000000000000001</v>
          </cell>
          <cell r="AT38">
            <v>1.04</v>
          </cell>
          <cell r="AU38">
            <v>0.98</v>
          </cell>
          <cell r="AV38">
            <v>0.91</v>
          </cell>
          <cell r="AW38">
            <v>0.95</v>
          </cell>
          <cell r="AX38">
            <v>0.95</v>
          </cell>
          <cell r="AY38">
            <v>0.93</v>
          </cell>
          <cell r="BE38">
            <v>1.0295669950812745</v>
          </cell>
        </row>
        <row r="39">
          <cell r="A39" t="str">
            <v>PENNSYLVANIA</v>
          </cell>
          <cell r="B39" t="str">
            <v>Jan</v>
          </cell>
          <cell r="C39" t="str">
            <v>PA</v>
          </cell>
          <cell r="D39">
            <v>2.33</v>
          </cell>
          <cell r="E39">
            <v>2.21</v>
          </cell>
          <cell r="F39">
            <v>2.09</v>
          </cell>
          <cell r="G39">
            <v>2.0099999999999998</v>
          </cell>
          <cell r="H39">
            <v>1.94</v>
          </cell>
          <cell r="I39">
            <v>1.89</v>
          </cell>
          <cell r="J39">
            <v>1.82</v>
          </cell>
          <cell r="K39">
            <v>2.8088729759381068</v>
          </cell>
          <cell r="L39">
            <v>2.72</v>
          </cell>
          <cell r="M39">
            <v>2.62</v>
          </cell>
          <cell r="N39">
            <v>2.54</v>
          </cell>
          <cell r="O39">
            <v>2.4500000000000002</v>
          </cell>
          <cell r="P39">
            <v>2.33</v>
          </cell>
          <cell r="Q39">
            <v>2.2000000000000002</v>
          </cell>
          <cell r="R39">
            <v>2.0299999999999998</v>
          </cell>
          <cell r="S39">
            <v>1.96</v>
          </cell>
          <cell r="T39">
            <v>1.92</v>
          </cell>
          <cell r="U39">
            <v>1.87</v>
          </cell>
          <cell r="V39">
            <v>1.82</v>
          </cell>
          <cell r="AB39">
            <v>2.33</v>
          </cell>
          <cell r="AC39">
            <v>1.82</v>
          </cell>
          <cell r="AD39">
            <v>2.2724060813281759</v>
          </cell>
          <cell r="AE39">
            <v>27</v>
          </cell>
          <cell r="AF39" t="str">
            <v>PA</v>
          </cell>
          <cell r="AG39">
            <v>1.2</v>
          </cell>
          <cell r="AH39">
            <v>1.17</v>
          </cell>
          <cell r="AI39">
            <v>1.1499999999999999</v>
          </cell>
          <cell r="AJ39">
            <v>1.1299999999999999</v>
          </cell>
          <cell r="AK39">
            <v>1.1399999999999999</v>
          </cell>
          <cell r="AL39">
            <v>1.1100000000000001</v>
          </cell>
          <cell r="AM39">
            <v>1.1299999999999999</v>
          </cell>
          <cell r="AN39">
            <v>1.1247922265114458</v>
          </cell>
          <cell r="AO39">
            <v>1.1299999999999999</v>
          </cell>
          <cell r="AP39">
            <v>1.1200000000000001</v>
          </cell>
          <cell r="AQ39">
            <v>1.0900000000000001</v>
          </cell>
          <cell r="AR39">
            <v>1.08</v>
          </cell>
          <cell r="AS39">
            <v>1.07</v>
          </cell>
          <cell r="AT39">
            <v>1.07</v>
          </cell>
          <cell r="AU39">
            <v>1.1200000000000001</v>
          </cell>
          <cell r="AV39">
            <v>1.1100000000000001</v>
          </cell>
          <cell r="AW39">
            <v>1.08</v>
          </cell>
          <cell r="AX39">
            <v>1.07</v>
          </cell>
          <cell r="AY39">
            <v>1.05</v>
          </cell>
          <cell r="BE39">
            <v>1.0928993522092874</v>
          </cell>
        </row>
        <row r="40">
          <cell r="A40" t="str">
            <v>PUERTO RICO</v>
          </cell>
          <cell r="B40" t="str">
            <v>Jul</v>
          </cell>
          <cell r="C40" t="str">
            <v>PR</v>
          </cell>
          <cell r="D40">
            <v>3.31</v>
          </cell>
          <cell r="E40">
            <v>3.23</v>
          </cell>
          <cell r="F40">
            <v>3.13</v>
          </cell>
          <cell r="G40">
            <v>3.04</v>
          </cell>
          <cell r="H40">
            <v>2.92</v>
          </cell>
          <cell r="I40">
            <v>2.82</v>
          </cell>
          <cell r="J40">
            <v>2.64</v>
          </cell>
          <cell r="K40">
            <v>2.5056537355601667</v>
          </cell>
          <cell r="L40">
            <v>2.37</v>
          </cell>
          <cell r="M40">
            <v>2.31</v>
          </cell>
          <cell r="N40">
            <v>3.24</v>
          </cell>
          <cell r="O40">
            <v>3.16</v>
          </cell>
          <cell r="P40">
            <v>2.99</v>
          </cell>
          <cell r="Q40">
            <v>2.91</v>
          </cell>
          <cell r="R40">
            <v>2.82</v>
          </cell>
          <cell r="S40">
            <v>2.75</v>
          </cell>
          <cell r="T40">
            <v>2.59</v>
          </cell>
          <cell r="U40">
            <v>2.4500000000000002</v>
          </cell>
          <cell r="V40">
            <v>2.35</v>
          </cell>
          <cell r="AB40">
            <v>2.99</v>
          </cell>
          <cell r="AC40">
            <v>2.35</v>
          </cell>
          <cell r="AD40">
            <v>2.703804477963347</v>
          </cell>
          <cell r="AE40">
            <v>40</v>
          </cell>
          <cell r="AF40" t="str">
            <v>PR</v>
          </cell>
          <cell r="AG40">
            <v>1</v>
          </cell>
          <cell r="AH40">
            <v>1.01</v>
          </cell>
          <cell r="AI40">
            <v>1.06</v>
          </cell>
          <cell r="AJ40">
            <v>1.1100000000000001</v>
          </cell>
          <cell r="AK40">
            <v>1.1100000000000001</v>
          </cell>
          <cell r="AL40">
            <v>1.0900000000000001</v>
          </cell>
          <cell r="AM40">
            <v>1.19</v>
          </cell>
          <cell r="AN40">
            <v>1.2468993592530804</v>
          </cell>
          <cell r="AO40">
            <v>1.28</v>
          </cell>
          <cell r="AP40">
            <v>1.27</v>
          </cell>
          <cell r="AQ40">
            <v>1.34</v>
          </cell>
          <cell r="AR40">
            <v>1.33</v>
          </cell>
          <cell r="AS40">
            <v>1.39</v>
          </cell>
          <cell r="AT40">
            <v>1.4</v>
          </cell>
          <cell r="AU40">
            <v>1.38</v>
          </cell>
          <cell r="AV40">
            <v>1.36</v>
          </cell>
          <cell r="AW40">
            <v>1.4</v>
          </cell>
          <cell r="AX40">
            <v>1.44</v>
          </cell>
          <cell r="AY40">
            <v>1.34</v>
          </cell>
          <cell r="BE40">
            <v>1.3480749466044231</v>
          </cell>
        </row>
        <row r="41">
          <cell r="A41" t="str">
            <v>RHODE ISLAND</v>
          </cell>
          <cell r="B41" t="str">
            <v>Jul</v>
          </cell>
          <cell r="C41" t="str">
            <v>RI</v>
          </cell>
          <cell r="D41">
            <v>2.1</v>
          </cell>
          <cell r="E41">
            <v>1.98</v>
          </cell>
          <cell r="F41">
            <v>1.92</v>
          </cell>
          <cell r="G41">
            <v>1.87</v>
          </cell>
          <cell r="H41">
            <v>1.86</v>
          </cell>
          <cell r="I41">
            <v>1.64</v>
          </cell>
          <cell r="J41">
            <v>1.53</v>
          </cell>
          <cell r="K41">
            <v>2.5696548158088137</v>
          </cell>
          <cell r="L41">
            <v>2.4300000000000002</v>
          </cell>
          <cell r="M41">
            <v>2.3199999999999998</v>
          </cell>
          <cell r="N41">
            <v>2.2799999999999998</v>
          </cell>
          <cell r="O41">
            <v>2.21</v>
          </cell>
          <cell r="P41">
            <v>2.19</v>
          </cell>
          <cell r="Q41">
            <v>2.19</v>
          </cell>
          <cell r="R41">
            <v>1.93</v>
          </cell>
          <cell r="S41">
            <v>1.92</v>
          </cell>
          <cell r="T41">
            <v>1.8</v>
          </cell>
          <cell r="U41">
            <v>1.55</v>
          </cell>
          <cell r="V41">
            <v>1.55</v>
          </cell>
          <cell r="AB41">
            <v>2.19</v>
          </cell>
          <cell r="AC41">
            <v>1.55</v>
          </cell>
          <cell r="AD41">
            <v>2.0783045679840675</v>
          </cell>
          <cell r="AE41">
            <v>20</v>
          </cell>
          <cell r="AF41" t="str">
            <v>RI</v>
          </cell>
          <cell r="AG41">
            <v>1.1000000000000001</v>
          </cell>
          <cell r="AH41">
            <v>1.31</v>
          </cell>
          <cell r="AI41">
            <v>1.34</v>
          </cell>
          <cell r="AJ41">
            <v>1.38</v>
          </cell>
          <cell r="AK41">
            <v>1.39</v>
          </cell>
          <cell r="AL41">
            <v>1.43</v>
          </cell>
          <cell r="AM41">
            <v>1.44</v>
          </cell>
          <cell r="AN41">
            <v>1.1049296220381744</v>
          </cell>
          <cell r="AO41">
            <v>1.17</v>
          </cell>
          <cell r="AP41">
            <v>1.26</v>
          </cell>
          <cell r="AQ41">
            <v>1.17</v>
          </cell>
          <cell r="AR41">
            <v>1.0900000000000001</v>
          </cell>
          <cell r="AS41">
            <v>0.97</v>
          </cell>
          <cell r="AT41">
            <v>0.85</v>
          </cell>
          <cell r="AU41">
            <v>1.05</v>
          </cell>
          <cell r="AV41">
            <v>1</v>
          </cell>
          <cell r="AW41">
            <v>1.1200000000000001</v>
          </cell>
          <cell r="AX41">
            <v>1.1399999999999999</v>
          </cell>
          <cell r="AY41">
            <v>1.03</v>
          </cell>
          <cell r="BE41">
            <v>1.0795774685031811</v>
          </cell>
        </row>
        <row r="42">
          <cell r="A42" t="str">
            <v>SOUTH CAROLINA</v>
          </cell>
          <cell r="B42" t="str">
            <v>Apr</v>
          </cell>
          <cell r="C42" t="str">
            <v>SC</v>
          </cell>
          <cell r="D42">
            <v>2.64</v>
          </cell>
          <cell r="E42">
            <v>2.5299999999999998</v>
          </cell>
          <cell r="F42">
            <v>2.44</v>
          </cell>
          <cell r="G42">
            <v>2.33</v>
          </cell>
          <cell r="H42">
            <v>2.25</v>
          </cell>
          <cell r="I42">
            <v>2.16</v>
          </cell>
          <cell r="J42">
            <v>2.09</v>
          </cell>
          <cell r="K42">
            <v>1.995168901181757</v>
          </cell>
          <cell r="L42">
            <v>3.07</v>
          </cell>
          <cell r="M42">
            <v>3.01</v>
          </cell>
          <cell r="N42">
            <v>2.92</v>
          </cell>
          <cell r="O42">
            <v>2.88</v>
          </cell>
          <cell r="P42">
            <v>2.82</v>
          </cell>
          <cell r="Q42">
            <v>2.77</v>
          </cell>
          <cell r="R42">
            <v>2.72</v>
          </cell>
          <cell r="S42">
            <v>2.67</v>
          </cell>
          <cell r="T42">
            <v>2.58</v>
          </cell>
          <cell r="U42">
            <v>2.54</v>
          </cell>
          <cell r="V42">
            <v>2.4700000000000002</v>
          </cell>
          <cell r="AB42">
            <v>2.82</v>
          </cell>
          <cell r="AC42">
            <v>2.4700000000000002</v>
          </cell>
          <cell r="AD42">
            <v>2.7037640750984795</v>
          </cell>
          <cell r="AE42">
            <v>39</v>
          </cell>
          <cell r="AF42" t="str">
            <v>SC</v>
          </cell>
          <cell r="AG42">
            <v>1.22</v>
          </cell>
          <cell r="AH42">
            <v>1.21</v>
          </cell>
          <cell r="AI42">
            <v>1.24</v>
          </cell>
          <cell r="AJ42">
            <v>1.24</v>
          </cell>
          <cell r="AK42">
            <v>1.22</v>
          </cell>
          <cell r="AL42">
            <v>1.21</v>
          </cell>
          <cell r="AM42">
            <v>1.2</v>
          </cell>
          <cell r="AN42">
            <v>1.2001990244542144</v>
          </cell>
          <cell r="AO42">
            <v>1.22</v>
          </cell>
          <cell r="AP42">
            <v>1.19</v>
          </cell>
          <cell r="AQ42">
            <v>1.17</v>
          </cell>
          <cell r="AR42">
            <v>1.1200000000000001</v>
          </cell>
          <cell r="AS42">
            <v>1.05</v>
          </cell>
          <cell r="AT42">
            <v>0.99</v>
          </cell>
          <cell r="AU42">
            <v>0.95</v>
          </cell>
          <cell r="AV42">
            <v>0.87</v>
          </cell>
          <cell r="AW42">
            <v>0.83</v>
          </cell>
          <cell r="AX42">
            <v>0.82</v>
          </cell>
          <cell r="AY42">
            <v>0.81</v>
          </cell>
          <cell r="BE42">
            <v>1.0183499187045177</v>
          </cell>
        </row>
        <row r="43">
          <cell r="A43" t="str">
            <v>SOUTH DAKOTA</v>
          </cell>
          <cell r="B43" t="str">
            <v>Jan</v>
          </cell>
          <cell r="C43" t="str">
            <v>SD</v>
          </cell>
          <cell r="D43">
            <v>2.86</v>
          </cell>
          <cell r="E43">
            <v>2.76</v>
          </cell>
          <cell r="F43">
            <v>2.71</v>
          </cell>
          <cell r="G43">
            <v>2.7</v>
          </cell>
          <cell r="H43">
            <v>2.68</v>
          </cell>
          <cell r="I43">
            <v>2.66</v>
          </cell>
          <cell r="J43">
            <v>2.63</v>
          </cell>
          <cell r="K43">
            <v>3.6321813109245848</v>
          </cell>
          <cell r="L43">
            <v>3.54</v>
          </cell>
          <cell r="M43">
            <v>3.43</v>
          </cell>
          <cell r="N43">
            <v>3.38</v>
          </cell>
          <cell r="O43">
            <v>3.15</v>
          </cell>
          <cell r="P43">
            <v>3.14</v>
          </cell>
          <cell r="Q43">
            <v>2.93</v>
          </cell>
          <cell r="R43">
            <v>2.71</v>
          </cell>
          <cell r="S43">
            <v>2.64</v>
          </cell>
          <cell r="T43">
            <v>2.59</v>
          </cell>
          <cell r="U43">
            <v>2.5499999999999998</v>
          </cell>
          <cell r="V43">
            <v>2.48</v>
          </cell>
          <cell r="AB43">
            <v>3.14</v>
          </cell>
          <cell r="AC43">
            <v>2.48</v>
          </cell>
          <cell r="AD43">
            <v>3.0143484425770484</v>
          </cell>
          <cell r="AE43">
            <v>46</v>
          </cell>
          <cell r="AF43" t="str">
            <v>SD</v>
          </cell>
          <cell r="AG43">
            <v>1.1399999999999999</v>
          </cell>
          <cell r="AH43">
            <v>1.1000000000000001</v>
          </cell>
          <cell r="AI43">
            <v>0.97</v>
          </cell>
          <cell r="AJ43">
            <v>0.96</v>
          </cell>
          <cell r="AK43">
            <v>0.85</v>
          </cell>
          <cell r="AL43">
            <v>0.86</v>
          </cell>
          <cell r="AM43">
            <v>0.88</v>
          </cell>
          <cell r="AN43">
            <v>0.92604033623534088</v>
          </cell>
          <cell r="AO43">
            <v>0.86</v>
          </cell>
          <cell r="AP43">
            <v>0.83</v>
          </cell>
          <cell r="AQ43">
            <v>0.74</v>
          </cell>
          <cell r="AR43">
            <v>0.84</v>
          </cell>
          <cell r="AS43">
            <v>0.81</v>
          </cell>
          <cell r="AT43">
            <v>0.91</v>
          </cell>
          <cell r="AU43">
            <v>1.08</v>
          </cell>
          <cell r="AV43">
            <v>1.1299999999999999</v>
          </cell>
          <cell r="AW43">
            <v>1.17</v>
          </cell>
          <cell r="AX43">
            <v>1.19</v>
          </cell>
          <cell r="AY43">
            <v>1.23</v>
          </cell>
          <cell r="BE43">
            <v>0.97633669468627848</v>
          </cell>
        </row>
        <row r="44">
          <cell r="A44" t="str">
            <v>TENNESSEE</v>
          </cell>
          <cell r="B44" t="str">
            <v>Jul</v>
          </cell>
          <cell r="C44" t="str">
            <v>TN</v>
          </cell>
          <cell r="D44">
            <v>3.32</v>
          </cell>
          <cell r="E44">
            <v>3.24</v>
          </cell>
          <cell r="F44">
            <v>3.18</v>
          </cell>
          <cell r="G44">
            <v>3.11</v>
          </cell>
          <cell r="H44">
            <v>2.97</v>
          </cell>
          <cell r="I44">
            <v>2.9</v>
          </cell>
          <cell r="J44">
            <v>2.77</v>
          </cell>
          <cell r="K44">
            <v>2.6999954112275422</v>
          </cell>
          <cell r="L44">
            <v>2.59</v>
          </cell>
          <cell r="M44">
            <v>2.5299999999999998</v>
          </cell>
          <cell r="N44">
            <v>2.5</v>
          </cell>
          <cell r="O44">
            <v>3.49</v>
          </cell>
          <cell r="P44">
            <v>3.42</v>
          </cell>
          <cell r="Q44">
            <v>3.37</v>
          </cell>
          <cell r="R44">
            <v>3.3</v>
          </cell>
          <cell r="S44">
            <v>3.22</v>
          </cell>
          <cell r="T44">
            <v>3.09</v>
          </cell>
          <cell r="U44">
            <v>2.96</v>
          </cell>
          <cell r="V44">
            <v>2.88</v>
          </cell>
          <cell r="AB44">
            <v>3.42</v>
          </cell>
          <cell r="AC44">
            <v>2.88</v>
          </cell>
          <cell r="AD44">
            <v>3.0041662842689618</v>
          </cell>
          <cell r="AE44">
            <v>45</v>
          </cell>
          <cell r="AF44" t="str">
            <v>TN</v>
          </cell>
          <cell r="AG44">
            <v>0.96</v>
          </cell>
          <cell r="AH44">
            <v>0.97</v>
          </cell>
          <cell r="AI44">
            <v>0.9</v>
          </cell>
          <cell r="AJ44">
            <v>0.91</v>
          </cell>
          <cell r="AK44">
            <v>0.92</v>
          </cell>
          <cell r="AL44">
            <v>0.89</v>
          </cell>
          <cell r="AM44">
            <v>0.94</v>
          </cell>
          <cell r="AN44">
            <v>0.96371343821022837</v>
          </cell>
          <cell r="AO44">
            <v>1.03</v>
          </cell>
          <cell r="AP44">
            <v>1.02</v>
          </cell>
          <cell r="AQ44">
            <v>0.99</v>
          </cell>
          <cell r="AR44">
            <v>0.96</v>
          </cell>
          <cell r="AS44">
            <v>0.97</v>
          </cell>
          <cell r="AT44">
            <v>0.94</v>
          </cell>
          <cell r="AU44">
            <v>0.94</v>
          </cell>
          <cell r="AV44">
            <v>0.96</v>
          </cell>
          <cell r="AW44">
            <v>0.97</v>
          </cell>
          <cell r="AX44">
            <v>1</v>
          </cell>
          <cell r="AY44">
            <v>0.96</v>
          </cell>
          <cell r="BE44">
            <v>0.97530945318418549</v>
          </cell>
        </row>
        <row r="45">
          <cell r="A45" t="str">
            <v>TEXAS</v>
          </cell>
          <cell r="B45" t="str">
            <v>Feb</v>
          </cell>
          <cell r="C45" t="str">
            <v>TX</v>
          </cell>
          <cell r="D45">
            <v>2.69</v>
          </cell>
          <cell r="E45">
            <v>2.61</v>
          </cell>
          <cell r="F45">
            <v>2.5299999999999998</v>
          </cell>
          <cell r="G45">
            <v>2.46</v>
          </cell>
          <cell r="H45">
            <v>2.35</v>
          </cell>
          <cell r="I45">
            <v>2.2799999999999998</v>
          </cell>
          <cell r="J45">
            <v>2.1800000000000002</v>
          </cell>
          <cell r="K45">
            <v>3.1406682734670559</v>
          </cell>
          <cell r="L45">
            <v>3.06</v>
          </cell>
          <cell r="M45">
            <v>2.97</v>
          </cell>
          <cell r="N45">
            <v>2.87</v>
          </cell>
          <cell r="O45">
            <v>2.79</v>
          </cell>
          <cell r="P45">
            <v>2.68</v>
          </cell>
          <cell r="Q45">
            <v>2.6</v>
          </cell>
          <cell r="R45">
            <v>2.4900000000000002</v>
          </cell>
          <cell r="S45">
            <v>2.4</v>
          </cell>
          <cell r="T45">
            <v>2.31</v>
          </cell>
          <cell r="U45">
            <v>2.21</v>
          </cell>
          <cell r="V45">
            <v>2.12</v>
          </cell>
          <cell r="AB45">
            <v>2.68</v>
          </cell>
          <cell r="AC45">
            <v>2.12</v>
          </cell>
          <cell r="AD45">
            <v>2.6367223561222546</v>
          </cell>
          <cell r="AE45">
            <v>38</v>
          </cell>
          <cell r="AF45" t="str">
            <v>TX</v>
          </cell>
          <cell r="AG45">
            <v>1.1499999999999999</v>
          </cell>
          <cell r="AH45">
            <v>1.1399999999999999</v>
          </cell>
          <cell r="AI45">
            <v>1.1200000000000001</v>
          </cell>
          <cell r="AJ45">
            <v>1.0900000000000001</v>
          </cell>
          <cell r="AK45">
            <v>1.08</v>
          </cell>
          <cell r="AL45">
            <v>1.07</v>
          </cell>
          <cell r="AM45">
            <v>1.08</v>
          </cell>
          <cell r="AN45">
            <v>1.0796766750505382</v>
          </cell>
          <cell r="AO45">
            <v>1.05</v>
          </cell>
          <cell r="AP45">
            <v>1.04</v>
          </cell>
          <cell r="AQ45">
            <v>1.04</v>
          </cell>
          <cell r="AR45">
            <v>1.06</v>
          </cell>
          <cell r="AS45">
            <v>1.08</v>
          </cell>
          <cell r="AT45">
            <v>1.08</v>
          </cell>
          <cell r="AU45">
            <v>1.1000000000000001</v>
          </cell>
          <cell r="AV45">
            <v>1.1200000000000001</v>
          </cell>
          <cell r="AW45">
            <v>1.1000000000000001</v>
          </cell>
          <cell r="AX45">
            <v>1.1299999999999999</v>
          </cell>
          <cell r="AY45">
            <v>1.1200000000000001</v>
          </cell>
          <cell r="BE45">
            <v>1.083306389587545</v>
          </cell>
        </row>
        <row r="46">
          <cell r="A46" t="str">
            <v>UTAH</v>
          </cell>
          <cell r="B46" t="str">
            <v>Apr</v>
          </cell>
          <cell r="C46" t="str">
            <v>UT</v>
          </cell>
          <cell r="D46">
            <v>0.97</v>
          </cell>
          <cell r="E46">
            <v>0.91</v>
          </cell>
          <cell r="F46">
            <v>0.86</v>
          </cell>
          <cell r="G46">
            <v>0.78</v>
          </cell>
          <cell r="H46">
            <v>0.67</v>
          </cell>
          <cell r="I46">
            <v>0.63</v>
          </cell>
          <cell r="J46">
            <v>0.56999999999999995</v>
          </cell>
          <cell r="K46">
            <v>0.54998595096987768</v>
          </cell>
          <cell r="L46">
            <v>1.56</v>
          </cell>
          <cell r="M46">
            <v>1.55</v>
          </cell>
          <cell r="N46">
            <v>1.53</v>
          </cell>
          <cell r="O46">
            <v>1.47</v>
          </cell>
          <cell r="P46">
            <v>1.4</v>
          </cell>
          <cell r="Q46">
            <v>1.33</v>
          </cell>
          <cell r="R46">
            <v>1.23</v>
          </cell>
          <cell r="S46">
            <v>1.1499999999999999</v>
          </cell>
          <cell r="T46">
            <v>1.06</v>
          </cell>
          <cell r="U46">
            <v>0.96</v>
          </cell>
          <cell r="V46">
            <v>0.9</v>
          </cell>
          <cell r="AB46">
            <v>1.4</v>
          </cell>
          <cell r="AC46">
            <v>0.9</v>
          </cell>
          <cell r="AD46">
            <v>1.2241654959141566</v>
          </cell>
          <cell r="AE46">
            <v>2</v>
          </cell>
          <cell r="AF46" t="str">
            <v>UT</v>
          </cell>
          <cell r="AG46">
            <v>1.25</v>
          </cell>
          <cell r="AH46">
            <v>1.24</v>
          </cell>
          <cell r="AI46">
            <v>1.2</v>
          </cell>
          <cell r="AJ46">
            <v>1.1599999999999999</v>
          </cell>
          <cell r="AK46">
            <v>1.1000000000000001</v>
          </cell>
          <cell r="AL46">
            <v>1.02</v>
          </cell>
          <cell r="AM46">
            <v>1.08</v>
          </cell>
          <cell r="AN46">
            <v>1.0370949829730389</v>
          </cell>
          <cell r="AO46">
            <v>0.95</v>
          </cell>
          <cell r="AP46">
            <v>0.93</v>
          </cell>
          <cell r="AQ46">
            <v>0.81</v>
          </cell>
          <cell r="AR46">
            <v>0.73</v>
          </cell>
          <cell r="AS46">
            <v>0.56999999999999995</v>
          </cell>
          <cell r="AT46">
            <v>0.59</v>
          </cell>
          <cell r="AU46">
            <v>0.65</v>
          </cell>
          <cell r="AV46">
            <v>0.63</v>
          </cell>
          <cell r="AW46">
            <v>0.65</v>
          </cell>
          <cell r="AX46">
            <v>0.67</v>
          </cell>
          <cell r="AY46">
            <v>0.68</v>
          </cell>
          <cell r="BE46">
            <v>0.74142458191442007</v>
          </cell>
        </row>
        <row r="47">
          <cell r="A47" t="str">
            <v>VERMONT</v>
          </cell>
          <cell r="B47" t="str">
            <v>Jul</v>
          </cell>
          <cell r="C47" t="str">
            <v>VT</v>
          </cell>
          <cell r="D47">
            <v>1.95</v>
          </cell>
          <cell r="E47">
            <v>1.8</v>
          </cell>
          <cell r="F47">
            <v>1.69</v>
          </cell>
          <cell r="G47">
            <v>1.57</v>
          </cell>
          <cell r="H47">
            <v>1.44</v>
          </cell>
          <cell r="I47">
            <v>1.42</v>
          </cell>
          <cell r="J47">
            <v>1.34</v>
          </cell>
          <cell r="K47">
            <v>1.3097797291899096</v>
          </cell>
          <cell r="L47">
            <v>1.28</v>
          </cell>
          <cell r="M47">
            <v>1.1499999999999999</v>
          </cell>
          <cell r="N47">
            <v>1.1100000000000001</v>
          </cell>
          <cell r="O47">
            <v>2.02</v>
          </cell>
          <cell r="P47">
            <v>1.92</v>
          </cell>
          <cell r="Q47">
            <v>1.87</v>
          </cell>
          <cell r="R47">
            <v>1.8</v>
          </cell>
          <cell r="S47">
            <v>1.74</v>
          </cell>
          <cell r="T47">
            <v>1.61</v>
          </cell>
          <cell r="U47">
            <v>1.56</v>
          </cell>
          <cell r="V47">
            <v>1.49</v>
          </cell>
          <cell r="AB47">
            <v>1.92</v>
          </cell>
          <cell r="AC47">
            <v>1.49</v>
          </cell>
          <cell r="AD47">
            <v>1.5716483107658259</v>
          </cell>
          <cell r="AE47">
            <v>5</v>
          </cell>
          <cell r="AF47" t="str">
            <v>VT</v>
          </cell>
          <cell r="AG47">
            <v>1.2</v>
          </cell>
          <cell r="AH47">
            <v>1.3</v>
          </cell>
          <cell r="AI47">
            <v>1.37</v>
          </cell>
          <cell r="AJ47">
            <v>1.44</v>
          </cell>
          <cell r="AK47">
            <v>1.54</v>
          </cell>
          <cell r="AL47">
            <v>1.36</v>
          </cell>
          <cell r="AM47">
            <v>1.34</v>
          </cell>
          <cell r="AN47">
            <v>1.3036028242828519</v>
          </cell>
          <cell r="AO47">
            <v>1.25</v>
          </cell>
          <cell r="AP47">
            <v>1.27</v>
          </cell>
          <cell r="AQ47">
            <v>1.25</v>
          </cell>
          <cell r="AR47">
            <v>1.19</v>
          </cell>
          <cell r="AS47">
            <v>1.08</v>
          </cell>
          <cell r="AT47">
            <v>0.98</v>
          </cell>
          <cell r="AU47">
            <v>0.94</v>
          </cell>
          <cell r="AV47">
            <v>0.88</v>
          </cell>
          <cell r="AW47">
            <v>0.88</v>
          </cell>
          <cell r="AX47">
            <v>0.9</v>
          </cell>
          <cell r="AY47">
            <v>0.89</v>
          </cell>
          <cell r="BE47">
            <v>1.0678002353569045</v>
          </cell>
        </row>
        <row r="48">
          <cell r="A48" t="str">
            <v>VIRGINIA</v>
          </cell>
          <cell r="B48" t="str">
            <v>Jul</v>
          </cell>
          <cell r="C48" t="str">
            <v>VA</v>
          </cell>
          <cell r="D48">
            <v>2.67</v>
          </cell>
          <cell r="E48">
            <v>2.57</v>
          </cell>
          <cell r="F48">
            <v>2.48</v>
          </cell>
          <cell r="G48">
            <v>2.38</v>
          </cell>
          <cell r="H48">
            <v>2.2999999999999998</v>
          </cell>
          <cell r="I48">
            <v>2.23</v>
          </cell>
          <cell r="J48">
            <v>2.13</v>
          </cell>
          <cell r="K48">
            <v>2.1020825999635768</v>
          </cell>
          <cell r="L48">
            <v>2.0499999999999998</v>
          </cell>
          <cell r="M48">
            <v>1.86</v>
          </cell>
          <cell r="N48">
            <v>2.83</v>
          </cell>
          <cell r="O48">
            <v>2.8</v>
          </cell>
          <cell r="P48">
            <v>2.69</v>
          </cell>
          <cell r="Q48">
            <v>2.62</v>
          </cell>
          <cell r="R48">
            <v>2.5499999999999998</v>
          </cell>
          <cell r="S48">
            <v>2.46</v>
          </cell>
          <cell r="T48">
            <v>2.39</v>
          </cell>
          <cell r="U48">
            <v>2.31</v>
          </cell>
          <cell r="V48">
            <v>2.27</v>
          </cell>
          <cell r="AB48">
            <v>2.69</v>
          </cell>
          <cell r="AC48">
            <v>2.27</v>
          </cell>
          <cell r="AD48">
            <v>2.4110068833302978</v>
          </cell>
          <cell r="AE48">
            <v>30</v>
          </cell>
          <cell r="AF48" t="str">
            <v>VA</v>
          </cell>
          <cell r="AG48">
            <v>1.2</v>
          </cell>
          <cell r="AH48">
            <v>1.21</v>
          </cell>
          <cell r="AI48">
            <v>1.21</v>
          </cell>
          <cell r="AJ48">
            <v>1.2</v>
          </cell>
          <cell r="AK48">
            <v>1.1399999999999999</v>
          </cell>
          <cell r="AL48">
            <v>1.1399999999999999</v>
          </cell>
          <cell r="AM48">
            <v>1.17</v>
          </cell>
          <cell r="AN48">
            <v>1.0836892529038002</v>
          </cell>
          <cell r="AO48">
            <v>0.98</v>
          </cell>
          <cell r="AP48">
            <v>1.04</v>
          </cell>
          <cell r="AQ48">
            <v>1.0900000000000001</v>
          </cell>
          <cell r="AR48">
            <v>1.03</v>
          </cell>
          <cell r="AS48">
            <v>1.05</v>
          </cell>
          <cell r="AT48">
            <v>1.02</v>
          </cell>
          <cell r="AU48">
            <v>1</v>
          </cell>
          <cell r="AV48">
            <v>0.99</v>
          </cell>
          <cell r="AW48">
            <v>0.97</v>
          </cell>
          <cell r="AX48">
            <v>0.98</v>
          </cell>
          <cell r="AY48">
            <v>0.92</v>
          </cell>
          <cell r="BE48">
            <v>1.0128074377419833</v>
          </cell>
        </row>
        <row r="49">
          <cell r="A49" t="str">
            <v>WASHINGTON</v>
          </cell>
          <cell r="B49" t="str">
            <v>Jan</v>
          </cell>
          <cell r="C49" t="str">
            <v>WA</v>
          </cell>
          <cell r="D49">
            <v>1.46</v>
          </cell>
          <cell r="E49">
            <v>1.44</v>
          </cell>
          <cell r="F49">
            <v>1.44</v>
          </cell>
          <cell r="G49">
            <v>1.44</v>
          </cell>
          <cell r="H49">
            <v>1.39</v>
          </cell>
          <cell r="I49">
            <v>1.27</v>
          </cell>
          <cell r="J49">
            <v>1.24</v>
          </cell>
          <cell r="K49">
            <v>1.1411989013898418</v>
          </cell>
          <cell r="L49">
            <v>1.1200000000000001</v>
          </cell>
          <cell r="M49">
            <v>1.06</v>
          </cell>
          <cell r="N49">
            <v>2.0499999999999998</v>
          </cell>
          <cell r="O49">
            <v>1.78</v>
          </cell>
          <cell r="P49">
            <v>1.64</v>
          </cell>
          <cell r="Q49">
            <v>1.54</v>
          </cell>
          <cell r="R49">
            <v>1.37</v>
          </cell>
          <cell r="S49">
            <v>1.3</v>
          </cell>
          <cell r="T49">
            <v>1.24</v>
          </cell>
          <cell r="U49">
            <v>1.24</v>
          </cell>
          <cell r="V49">
            <v>1.24</v>
          </cell>
          <cell r="AB49">
            <v>1.64</v>
          </cell>
          <cell r="AC49">
            <v>1.24</v>
          </cell>
          <cell r="AD49">
            <v>1.3934332417824871</v>
          </cell>
          <cell r="AE49">
            <v>3</v>
          </cell>
          <cell r="AF49" t="str">
            <v>WA</v>
          </cell>
          <cell r="AG49">
            <v>1.02</v>
          </cell>
          <cell r="AH49">
            <v>0.97</v>
          </cell>
          <cell r="AI49">
            <v>0.75</v>
          </cell>
          <cell r="AJ49">
            <v>0.69</v>
          </cell>
          <cell r="AK49">
            <v>0.64</v>
          </cell>
          <cell r="AL49">
            <v>0.62</v>
          </cell>
          <cell r="AM49">
            <v>0.64</v>
          </cell>
          <cell r="AN49">
            <v>0.62601055298082187</v>
          </cell>
          <cell r="AO49">
            <v>0.6</v>
          </cell>
          <cell r="AP49">
            <v>0.54</v>
          </cell>
          <cell r="AQ49">
            <v>0.46</v>
          </cell>
          <cell r="AR49">
            <v>0.72</v>
          </cell>
          <cell r="AS49">
            <v>0.86</v>
          </cell>
          <cell r="AT49">
            <v>0.94</v>
          </cell>
          <cell r="AU49">
            <v>1.04</v>
          </cell>
          <cell r="AV49">
            <v>1.17</v>
          </cell>
          <cell r="AW49">
            <v>1.18</v>
          </cell>
          <cell r="AX49">
            <v>1.06</v>
          </cell>
          <cell r="AY49">
            <v>1.03</v>
          </cell>
          <cell r="BE49">
            <v>0.85216754608173517</v>
          </cell>
        </row>
        <row r="50">
          <cell r="A50" t="str">
            <v>WEST VIRGINIA</v>
          </cell>
          <cell r="B50" t="str">
            <v>Jul</v>
          </cell>
          <cell r="C50" t="str">
            <v>WV</v>
          </cell>
          <cell r="D50">
            <v>3.21</v>
          </cell>
          <cell r="E50">
            <v>3.16</v>
          </cell>
          <cell r="F50">
            <v>2.99</v>
          </cell>
          <cell r="G50">
            <v>2.9</v>
          </cell>
          <cell r="H50">
            <v>2.83</v>
          </cell>
          <cell r="I50">
            <v>2.79</v>
          </cell>
          <cell r="J50">
            <v>2.68</v>
          </cell>
          <cell r="K50">
            <v>2.5608174128266561</v>
          </cell>
          <cell r="L50">
            <v>2.42</v>
          </cell>
          <cell r="M50">
            <v>2.31</v>
          </cell>
          <cell r="N50">
            <v>3.18</v>
          </cell>
          <cell r="O50">
            <v>3.1</v>
          </cell>
          <cell r="P50">
            <v>3.05</v>
          </cell>
          <cell r="Q50">
            <v>2.96</v>
          </cell>
          <cell r="R50">
            <v>2.84</v>
          </cell>
          <cell r="S50">
            <v>2.8</v>
          </cell>
          <cell r="T50">
            <v>2.71</v>
          </cell>
          <cell r="U50">
            <v>2.66</v>
          </cell>
          <cell r="V50">
            <v>2.54</v>
          </cell>
          <cell r="AB50">
            <v>3.05</v>
          </cell>
          <cell r="AC50">
            <v>2.54</v>
          </cell>
          <cell r="AD50">
            <v>2.7609014510688881</v>
          </cell>
          <cell r="AE50">
            <v>41</v>
          </cell>
          <cell r="AF50" t="str">
            <v>WV</v>
          </cell>
          <cell r="AG50">
            <v>1.28</v>
          </cell>
          <cell r="AH50">
            <v>1.23</v>
          </cell>
          <cell r="AI50">
            <v>1.21</v>
          </cell>
          <cell r="AJ50">
            <v>1.17</v>
          </cell>
          <cell r="AK50">
            <v>1.1299999999999999</v>
          </cell>
          <cell r="AL50">
            <v>1.1100000000000001</v>
          </cell>
          <cell r="AM50">
            <v>1.1599999999999999</v>
          </cell>
          <cell r="AN50">
            <v>1.0789467843422622</v>
          </cell>
          <cell r="AO50">
            <v>1.1299999999999999</v>
          </cell>
          <cell r="AP50">
            <v>1.21</v>
          </cell>
          <cell r="AQ50">
            <v>1.26</v>
          </cell>
          <cell r="AR50">
            <v>1.29</v>
          </cell>
          <cell r="AS50">
            <v>1.25</v>
          </cell>
          <cell r="AT50">
            <v>1.28</v>
          </cell>
          <cell r="AU50">
            <v>1.24</v>
          </cell>
          <cell r="AV50">
            <v>1.18</v>
          </cell>
          <cell r="AW50">
            <v>1.2</v>
          </cell>
          <cell r="AX50">
            <v>1.2</v>
          </cell>
          <cell r="AY50">
            <v>1.22</v>
          </cell>
          <cell r="BE50">
            <v>1.2115788986951885</v>
          </cell>
        </row>
        <row r="51">
          <cell r="A51" t="str">
            <v>WISCONSIN</v>
          </cell>
          <cell r="B51" t="str">
            <v>Apr</v>
          </cell>
          <cell r="C51" t="str">
            <v>WI</v>
          </cell>
          <cell r="D51">
            <v>2.2400000000000002</v>
          </cell>
          <cell r="E51">
            <v>2.13</v>
          </cell>
          <cell r="F51">
            <v>2.0299999999999998</v>
          </cell>
          <cell r="G51">
            <v>1.99</v>
          </cell>
          <cell r="H51">
            <v>1.94</v>
          </cell>
          <cell r="I51">
            <v>1.88</v>
          </cell>
          <cell r="J51">
            <v>1.84</v>
          </cell>
          <cell r="K51">
            <v>1.788982403940089</v>
          </cell>
          <cell r="L51">
            <v>1.72</v>
          </cell>
          <cell r="M51">
            <v>1.66</v>
          </cell>
          <cell r="N51">
            <v>2.66</v>
          </cell>
          <cell r="O51">
            <v>2.5499999999999998</v>
          </cell>
          <cell r="P51">
            <v>2.44</v>
          </cell>
          <cell r="Q51">
            <v>2.37</v>
          </cell>
          <cell r="R51">
            <v>2.31</v>
          </cell>
          <cell r="S51">
            <v>2.2400000000000002</v>
          </cell>
          <cell r="T51">
            <v>2.19</v>
          </cell>
          <cell r="U51">
            <v>2.11</v>
          </cell>
          <cell r="V51">
            <v>2.06</v>
          </cell>
          <cell r="AB51">
            <v>2.44</v>
          </cell>
          <cell r="AC51">
            <v>2.06</v>
          </cell>
          <cell r="AD51">
            <v>2.1749152003283405</v>
          </cell>
          <cell r="AE51">
            <v>22</v>
          </cell>
          <cell r="AF51" t="str">
            <v>WI</v>
          </cell>
          <cell r="AG51">
            <v>0.79</v>
          </cell>
          <cell r="AH51">
            <v>0.83</v>
          </cell>
          <cell r="AI51">
            <v>0.86</v>
          </cell>
          <cell r="AJ51">
            <v>0.84</v>
          </cell>
          <cell r="AK51">
            <v>0.82</v>
          </cell>
          <cell r="AL51">
            <v>0.83</v>
          </cell>
          <cell r="AM51">
            <v>0.81</v>
          </cell>
          <cell r="AN51">
            <v>0.73205001328971653</v>
          </cell>
          <cell r="AO51">
            <v>0.77</v>
          </cell>
          <cell r="AP51">
            <v>0.79</v>
          </cell>
          <cell r="AQ51">
            <v>0.78</v>
          </cell>
          <cell r="AR51">
            <v>0.83</v>
          </cell>
          <cell r="AS51">
            <v>0.86</v>
          </cell>
          <cell r="AT51">
            <v>0.83</v>
          </cell>
          <cell r="AU51">
            <v>0.78</v>
          </cell>
          <cell r="AV51">
            <v>0.81</v>
          </cell>
          <cell r="AW51">
            <v>0.81</v>
          </cell>
          <cell r="AX51">
            <v>0.83</v>
          </cell>
          <cell r="AY51">
            <v>0.83</v>
          </cell>
          <cell r="BE51">
            <v>0.80433750110747659</v>
          </cell>
        </row>
        <row r="52">
          <cell r="A52" t="str">
            <v>WYOMING</v>
          </cell>
          <cell r="B52" t="str">
            <v>Jan</v>
          </cell>
          <cell r="C52" t="str">
            <v>WY</v>
          </cell>
          <cell r="D52">
            <v>2.58</v>
          </cell>
          <cell r="E52">
            <v>2.5</v>
          </cell>
          <cell r="F52">
            <v>2.35</v>
          </cell>
          <cell r="G52">
            <v>2.35</v>
          </cell>
          <cell r="H52">
            <v>2.35</v>
          </cell>
          <cell r="I52">
            <v>2.0699999999999998</v>
          </cell>
          <cell r="J52">
            <v>2.02</v>
          </cell>
          <cell r="K52">
            <v>2.9786047318573075</v>
          </cell>
          <cell r="L52">
            <v>2.88</v>
          </cell>
          <cell r="M52">
            <v>2.88</v>
          </cell>
          <cell r="N52">
            <v>2.84</v>
          </cell>
          <cell r="O52">
            <v>2.72</v>
          </cell>
          <cell r="P52">
            <v>2.63</v>
          </cell>
          <cell r="Q52">
            <v>2.57</v>
          </cell>
          <cell r="R52">
            <v>2.4300000000000002</v>
          </cell>
          <cell r="S52">
            <v>2.31</v>
          </cell>
          <cell r="T52">
            <v>2.31</v>
          </cell>
          <cell r="U52">
            <v>2.19</v>
          </cell>
          <cell r="V52">
            <v>2.0699999999999998</v>
          </cell>
          <cell r="AB52">
            <v>2.63</v>
          </cell>
          <cell r="AC52">
            <v>2.0699999999999998</v>
          </cell>
          <cell r="AD52">
            <v>2.5673837276547755</v>
          </cell>
          <cell r="AE52">
            <v>35</v>
          </cell>
          <cell r="AF52" t="str">
            <v>WY</v>
          </cell>
          <cell r="AG52">
            <v>1.1000000000000001</v>
          </cell>
          <cell r="AH52">
            <v>1.02</v>
          </cell>
          <cell r="AI52">
            <v>1.1100000000000001</v>
          </cell>
          <cell r="AJ52">
            <v>1.01</v>
          </cell>
          <cell r="AK52">
            <v>0.94</v>
          </cell>
          <cell r="AL52">
            <v>1.22</v>
          </cell>
          <cell r="AM52">
            <v>0.91</v>
          </cell>
          <cell r="AN52">
            <v>0.92095664820606127</v>
          </cell>
          <cell r="AO52">
            <v>0.91</v>
          </cell>
          <cell r="AP52">
            <v>0.91</v>
          </cell>
          <cell r="AQ52">
            <v>0.95</v>
          </cell>
          <cell r="AR52">
            <v>0.97</v>
          </cell>
          <cell r="AS52">
            <v>1.01</v>
          </cell>
          <cell r="AT52">
            <v>1</v>
          </cell>
          <cell r="AU52">
            <v>0.98</v>
          </cell>
          <cell r="AV52">
            <v>1.1000000000000001</v>
          </cell>
          <cell r="AW52">
            <v>1.1000000000000001</v>
          </cell>
          <cell r="AX52">
            <v>0.94</v>
          </cell>
          <cell r="AY52">
            <v>1.01</v>
          </cell>
          <cell r="BE52">
            <v>0.98341305401717161</v>
          </cell>
        </row>
        <row r="53">
          <cell r="A53" t="str">
            <v>All States:</v>
          </cell>
          <cell r="C53" t="str">
            <v>US</v>
          </cell>
          <cell r="D53">
            <v>2.4568435576549947</v>
          </cell>
          <cell r="E53">
            <v>2.3691012321439762</v>
          </cell>
          <cell r="F53">
            <v>2.2728509725438153</v>
          </cell>
          <cell r="G53">
            <v>2.1942549592322478</v>
          </cell>
          <cell r="H53">
            <v>2.1163160186600605</v>
          </cell>
          <cell r="I53">
            <v>2.0414538187316738</v>
          </cell>
          <cell r="J53">
            <v>1.9601912983813281</v>
          </cell>
          <cell r="K53">
            <v>2.4012451304086135</v>
          </cell>
          <cell r="L53">
            <v>2.4049975592218633</v>
          </cell>
          <cell r="M53">
            <v>2.3518629681072247</v>
          </cell>
          <cell r="N53">
            <v>2.5522471464333711</v>
          </cell>
          <cell r="O53">
            <v>2.5392730350225006</v>
          </cell>
          <cell r="P53">
            <v>2.4813973755396632</v>
          </cell>
          <cell r="Q53">
            <v>2.3950350607126705</v>
          </cell>
          <cell r="R53">
            <v>2.2875617000302251</v>
          </cell>
          <cell r="S53">
            <v>2.209793529975467</v>
          </cell>
          <cell r="T53">
            <v>2.1351902405274319</v>
          </cell>
          <cell r="U53">
            <v>2.054171009232137</v>
          </cell>
          <cell r="V53">
            <v>1.9815323105555407</v>
          </cell>
          <cell r="AB53">
            <v>2.4813973755396632</v>
          </cell>
          <cell r="AC53">
            <v>1.9815323105555407</v>
          </cell>
          <cell r="AD53">
            <v>2.316192255480559</v>
          </cell>
          <cell r="AF53" t="str">
            <v>US</v>
          </cell>
          <cell r="AG53">
            <v>1.101365038651557</v>
          </cell>
          <cell r="AH53">
            <v>1.0882474062788372</v>
          </cell>
          <cell r="AI53">
            <v>1.0799712582250665</v>
          </cell>
          <cell r="AJ53">
            <v>1.0733413434389152</v>
          </cell>
          <cell r="AK53">
            <v>1.0694245757736431</v>
          </cell>
          <cell r="AL53">
            <v>1.0632111966327478</v>
          </cell>
          <cell r="AM53">
            <v>1.072267762589417</v>
          </cell>
          <cell r="AN53">
            <v>1.0736615010581265</v>
          </cell>
          <cell r="AO53">
            <v>1.058295728354002</v>
          </cell>
          <cell r="AP53">
            <v>1.0668594465346433</v>
          </cell>
          <cell r="AQ53">
            <v>1.054582182385837</v>
          </cell>
          <cell r="AR53">
            <v>1.0638249398712145</v>
          </cell>
          <cell r="AS53">
            <v>1.0535976565770679</v>
          </cell>
          <cell r="AT53">
            <v>1.0526436891803399</v>
          </cell>
          <cell r="AU53">
            <v>1.0565377845228252</v>
          </cell>
          <cell r="AV53">
            <v>1.0564904845941001</v>
          </cell>
          <cell r="AW53">
            <v>1.0524429994334139</v>
          </cell>
          <cell r="AX53">
            <v>1.0531800938263909</v>
          </cell>
          <cell r="AY53">
            <v>1.043125537956511</v>
          </cell>
          <cell r="BE53">
            <v>1.057103503691206</v>
          </cell>
        </row>
      </sheetData>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1.xml"/><Relationship Id="rId1" Type="http://schemas.openxmlformats.org/officeDocument/2006/relationships/printerSettings" Target="../printerSettings/printerSettings26.bin"/><Relationship Id="rId6" Type="http://schemas.openxmlformats.org/officeDocument/2006/relationships/comments" Target="../comments26.xml"/><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3.xml"/><Relationship Id="rId1" Type="http://schemas.openxmlformats.org/officeDocument/2006/relationships/printerSettings" Target="../printerSettings/printerSettings27.bin"/><Relationship Id="rId4" Type="http://schemas.openxmlformats.org/officeDocument/2006/relationships/comments" Target="../comments27.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5.xml"/><Relationship Id="rId1" Type="http://schemas.openxmlformats.org/officeDocument/2006/relationships/printerSettings" Target="../printerSettings/printerSettings28.bin"/><Relationship Id="rId5" Type="http://schemas.openxmlformats.org/officeDocument/2006/relationships/comments" Target="../comments28.xml"/><Relationship Id="rId4" Type="http://schemas.openxmlformats.org/officeDocument/2006/relationships/ctrlProp" Target="../ctrlProps/ctrlProp1.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8BBAE-4D20-4E9E-98A7-6234C342A645}">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D3" sqref="D3"/>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453125" style="17" bestFit="1" customWidth="1"/>
    <col min="16" max="16" width="7.7265625" style="23" hidden="1" customWidth="1"/>
    <col min="17" max="17" width="12.81640625" style="17" hidden="1" customWidth="1"/>
    <col min="18" max="16384" width="9.1796875" style="17"/>
  </cols>
  <sheetData>
    <row r="1" spans="1:17" s="8" customFormat="1" ht="18" x14ac:dyDescent="0.25">
      <c r="A1" s="4" t="s">
        <v>260</v>
      </c>
      <c r="B1" s="196" t="s">
        <v>261</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62</v>
      </c>
      <c r="B3" s="13">
        <v>708696383.32000005</v>
      </c>
      <c r="C3" s="13">
        <v>628753509.23000002</v>
      </c>
      <c r="D3" s="13">
        <v>79942874.090000033</v>
      </c>
      <c r="E3" s="13">
        <v>12484070.83</v>
      </c>
      <c r="F3" s="13">
        <v>13833071</v>
      </c>
      <c r="G3" s="14">
        <v>5.78</v>
      </c>
      <c r="H3" s="14">
        <v>0.9</v>
      </c>
      <c r="I3" s="13">
        <v>1040339.2358333333</v>
      </c>
      <c r="J3" s="15">
        <v>7</v>
      </c>
      <c r="K3" s="13">
        <v>72660499.439166695</v>
      </c>
      <c r="L3" s="13">
        <v>7468104.5842857193</v>
      </c>
      <c r="M3" s="13">
        <v>6480028.0842857193</v>
      </c>
      <c r="N3" s="197">
        <v>43647</v>
      </c>
      <c r="O3" s="16">
        <v>45474</v>
      </c>
      <c r="P3" s="13">
        <v>1231311.3899999999</v>
      </c>
      <c r="Q3" s="243" t="e">
        <v>#VALUE!</v>
      </c>
    </row>
    <row r="4" spans="1:17" x14ac:dyDescent="0.2">
      <c r="A4" s="4" t="s">
        <v>46</v>
      </c>
      <c r="B4" s="13">
        <v>1788595890.3599999</v>
      </c>
      <c r="C4" s="13">
        <v>1524082881.8800001</v>
      </c>
      <c r="D4" s="13">
        <v>264513008.47999978</v>
      </c>
      <c r="E4" s="13">
        <v>33178923.23</v>
      </c>
      <c r="F4" s="13">
        <v>46272979</v>
      </c>
      <c r="G4" s="14">
        <v>5.72</v>
      </c>
      <c r="H4" s="14">
        <v>0.72</v>
      </c>
      <c r="I4" s="13">
        <v>2764910.2691666665</v>
      </c>
      <c r="J4" s="15">
        <v>1</v>
      </c>
      <c r="K4" s="13">
        <v>261748098.2108331</v>
      </c>
      <c r="L4" s="13">
        <v>171967050.47999978</v>
      </c>
      <c r="M4" s="13">
        <v>148830560.97999978</v>
      </c>
      <c r="N4" s="197">
        <v>43831</v>
      </c>
      <c r="O4" s="16">
        <v>45292</v>
      </c>
      <c r="P4" s="13">
        <v>4675534.66</v>
      </c>
      <c r="Q4" s="242" t="e">
        <v>#VALUE!</v>
      </c>
    </row>
    <row r="5" spans="1:17" x14ac:dyDescent="0.2">
      <c r="A5" s="4" t="s">
        <v>26</v>
      </c>
      <c r="B5" s="13">
        <v>1336273473.74</v>
      </c>
      <c r="C5" s="13">
        <v>1177683903.05</v>
      </c>
      <c r="D5" s="13">
        <v>158589570.69000006</v>
      </c>
      <c r="E5" s="13">
        <v>14799241.640000001</v>
      </c>
      <c r="F5" s="13">
        <v>29074134</v>
      </c>
      <c r="G5" s="14">
        <v>5.45</v>
      </c>
      <c r="H5" s="14">
        <v>0.51</v>
      </c>
      <c r="I5" s="13">
        <v>1233270.1366666667</v>
      </c>
      <c r="J5" s="15">
        <v>1</v>
      </c>
      <c r="K5" s="13">
        <v>157356300.5533334</v>
      </c>
      <c r="L5" s="13">
        <v>100441302.69000006</v>
      </c>
      <c r="M5" s="13">
        <v>85904235.690000057</v>
      </c>
      <c r="N5" s="197">
        <v>43831</v>
      </c>
      <c r="O5" s="16">
        <v>45292</v>
      </c>
      <c r="P5" s="13">
        <v>2168333.69</v>
      </c>
      <c r="Q5" s="242" t="e">
        <v>#VALUE!</v>
      </c>
    </row>
    <row r="6" spans="1:17" x14ac:dyDescent="0.2">
      <c r="A6" s="4" t="s">
        <v>35</v>
      </c>
      <c r="B6" s="13">
        <v>1469242870.97</v>
      </c>
      <c r="C6" s="13">
        <v>1292498786.97</v>
      </c>
      <c r="D6" s="13">
        <v>176744084</v>
      </c>
      <c r="E6" s="13">
        <v>27511655.109999999</v>
      </c>
      <c r="F6" s="13">
        <v>33073641</v>
      </c>
      <c r="G6" s="14">
        <v>5.34</v>
      </c>
      <c r="H6" s="14">
        <v>0.83</v>
      </c>
      <c r="I6" s="13">
        <v>2292637.9258333333</v>
      </c>
      <c r="J6" s="15">
        <v>7</v>
      </c>
      <c r="K6" s="13">
        <v>160695618.51916668</v>
      </c>
      <c r="L6" s="13">
        <v>15799543.142857144</v>
      </c>
      <c r="M6" s="13">
        <v>13437140.214285715</v>
      </c>
      <c r="N6" s="197">
        <v>43647</v>
      </c>
      <c r="O6" s="16">
        <v>45474</v>
      </c>
      <c r="P6" s="13">
        <v>13456.84</v>
      </c>
      <c r="Q6" s="242" t="e">
        <v>#VALUE!</v>
      </c>
    </row>
    <row r="7" spans="1:17" x14ac:dyDescent="0.2">
      <c r="A7" s="4" t="s">
        <v>23</v>
      </c>
      <c r="B7" s="13">
        <v>1115197398.45</v>
      </c>
      <c r="C7" s="13">
        <v>981174654.38</v>
      </c>
      <c r="D7" s="13">
        <v>134022744.07000005</v>
      </c>
      <c r="E7" s="13">
        <v>11409244.75</v>
      </c>
      <c r="F7" s="13">
        <v>26165562</v>
      </c>
      <c r="G7" s="14">
        <v>5.12</v>
      </c>
      <c r="H7" s="14">
        <v>0.44</v>
      </c>
      <c r="I7" s="13">
        <v>950770.39583333337</v>
      </c>
      <c r="J7" s="15">
        <v>7</v>
      </c>
      <c r="K7" s="13">
        <v>127367351.29916672</v>
      </c>
      <c r="L7" s="13">
        <v>11670231.438571436</v>
      </c>
      <c r="M7" s="13">
        <v>9801262.7242857218</v>
      </c>
      <c r="N7" s="197">
        <v>43647</v>
      </c>
      <c r="O7" s="16">
        <v>45474</v>
      </c>
      <c r="P7" s="13">
        <v>3850321.3</v>
      </c>
      <c r="Q7" s="242" t="e">
        <v>#VALUE!</v>
      </c>
    </row>
    <row r="8" spans="1:17" x14ac:dyDescent="0.2">
      <c r="A8" s="4" t="s">
        <v>39</v>
      </c>
      <c r="B8" s="13">
        <v>265120500</v>
      </c>
      <c r="C8" s="13">
        <v>234275494.08000001</v>
      </c>
      <c r="D8" s="13">
        <v>30845005.919999987</v>
      </c>
      <c r="E8" s="13">
        <v>6128786.46</v>
      </c>
      <c r="F8" s="13">
        <v>6172506</v>
      </c>
      <c r="G8" s="14">
        <v>5</v>
      </c>
      <c r="H8" s="14">
        <v>0.99</v>
      </c>
      <c r="I8" s="13">
        <v>510732.20500000002</v>
      </c>
      <c r="J8" s="15">
        <v>4</v>
      </c>
      <c r="K8" s="13">
        <v>28802077.099999987</v>
      </c>
      <c r="L8" s="13">
        <v>4624998.4799999967</v>
      </c>
      <c r="M8" s="13">
        <v>3853435.2299999967</v>
      </c>
      <c r="N8" s="197">
        <v>43922</v>
      </c>
      <c r="O8" s="16">
        <v>45383</v>
      </c>
      <c r="P8" s="13">
        <v>706655.34</v>
      </c>
      <c r="Q8" s="242" t="e">
        <v>#VALUE!</v>
      </c>
    </row>
    <row r="9" spans="1:17" x14ac:dyDescent="0.2">
      <c r="A9" s="4" t="s">
        <v>53</v>
      </c>
      <c r="B9" s="13">
        <v>203184695.25999999</v>
      </c>
      <c r="C9" s="13">
        <v>175823579.72</v>
      </c>
      <c r="D9" s="13">
        <v>27361115.539999992</v>
      </c>
      <c r="E9" s="13">
        <v>3949500.35</v>
      </c>
      <c r="F9" s="13">
        <v>5655134</v>
      </c>
      <c r="G9" s="14">
        <v>4.84</v>
      </c>
      <c r="H9" s="14">
        <v>0.7</v>
      </c>
      <c r="I9" s="13">
        <v>329125.02916666667</v>
      </c>
      <c r="J9" s="15">
        <v>7</v>
      </c>
      <c r="K9" s="13">
        <v>25057240.335833326</v>
      </c>
      <c r="L9" s="13">
        <v>2292978.2199999988</v>
      </c>
      <c r="M9" s="13">
        <v>1889040.0771428559</v>
      </c>
      <c r="N9" s="197">
        <v>43647</v>
      </c>
      <c r="O9" s="16">
        <v>45474</v>
      </c>
      <c r="P9" s="13">
        <v>0</v>
      </c>
      <c r="Q9" s="242" t="e">
        <v>#VALUE!</v>
      </c>
    </row>
    <row r="10" spans="1:17" x14ac:dyDescent="0.2">
      <c r="A10" s="4" t="s">
        <v>64</v>
      </c>
      <c r="B10" s="13">
        <v>120899760.39</v>
      </c>
      <c r="C10" s="13">
        <v>104165405.42</v>
      </c>
      <c r="D10" s="13">
        <v>16734354.969999999</v>
      </c>
      <c r="E10" s="13">
        <v>1619676.18</v>
      </c>
      <c r="F10" s="13">
        <v>3521015</v>
      </c>
      <c r="G10" s="14">
        <v>4.75</v>
      </c>
      <c r="H10" s="14">
        <v>0.46</v>
      </c>
      <c r="I10" s="13">
        <v>134973.01499999998</v>
      </c>
      <c r="J10" s="15">
        <v>1</v>
      </c>
      <c r="K10" s="13">
        <v>16599381.954999998</v>
      </c>
      <c r="L10" s="13">
        <v>9692324.9699999988</v>
      </c>
      <c r="M10" s="13">
        <v>7931817.4699999988</v>
      </c>
      <c r="N10" s="197">
        <v>43831</v>
      </c>
      <c r="O10" s="16">
        <v>45292</v>
      </c>
      <c r="P10" s="13">
        <v>136272.31</v>
      </c>
      <c r="Q10" s="242" t="e">
        <v>#VALUE!</v>
      </c>
    </row>
    <row r="11" spans="1:17" x14ac:dyDescent="0.2">
      <c r="A11" s="4" t="s">
        <v>36</v>
      </c>
      <c r="B11" s="13">
        <v>853256279</v>
      </c>
      <c r="C11" s="13">
        <v>767319568.36000001</v>
      </c>
      <c r="D11" s="13">
        <v>85936710.639999986</v>
      </c>
      <c r="E11" s="13">
        <v>15828135.4</v>
      </c>
      <c r="F11" s="13">
        <v>18836467</v>
      </c>
      <c r="G11" s="14">
        <v>4.5599999999999996</v>
      </c>
      <c r="H11" s="14">
        <v>0.84</v>
      </c>
      <c r="I11" s="13">
        <v>1319011.2833333334</v>
      </c>
      <c r="J11" s="15">
        <v>0</v>
      </c>
      <c r="K11" s="13">
        <v>85936710.639999986</v>
      </c>
      <c r="L11" s="13" t="s">
        <v>193</v>
      </c>
      <c r="M11" s="13" t="s">
        <v>193</v>
      </c>
      <c r="N11" s="197">
        <v>43739</v>
      </c>
      <c r="O11" s="16">
        <v>45200</v>
      </c>
      <c r="P11" s="13">
        <v>2419131.9300000002</v>
      </c>
      <c r="Q11" s="242" t="e">
        <v>#VALUE!</v>
      </c>
    </row>
    <row r="12" spans="1:17" x14ac:dyDescent="0.2">
      <c r="A12" s="4" t="s">
        <v>44</v>
      </c>
      <c r="B12" s="13">
        <v>493558716</v>
      </c>
      <c r="C12" s="13">
        <v>443175704.55000001</v>
      </c>
      <c r="D12" s="13">
        <v>50383011.449999988</v>
      </c>
      <c r="E12" s="13">
        <v>8356828.4400000004</v>
      </c>
      <c r="F12" s="13">
        <v>11038481</v>
      </c>
      <c r="G12" s="14">
        <v>4.5599999999999996</v>
      </c>
      <c r="H12" s="14">
        <v>0.76</v>
      </c>
      <c r="I12" s="13">
        <v>696402.37</v>
      </c>
      <c r="J12" s="15">
        <v>1</v>
      </c>
      <c r="K12" s="13">
        <v>49686609.079999991</v>
      </c>
      <c r="L12" s="13">
        <v>28306049.449999988</v>
      </c>
      <c r="M12" s="13">
        <v>22786808.949999988</v>
      </c>
      <c r="N12" s="197">
        <v>43831</v>
      </c>
      <c r="O12" s="16">
        <v>45292</v>
      </c>
      <c r="P12" s="13">
        <v>586068.56000000006</v>
      </c>
      <c r="Q12" s="242" t="e">
        <v>#VALUE!</v>
      </c>
    </row>
    <row r="13" spans="1:17" x14ac:dyDescent="0.2">
      <c r="A13" s="4" t="s">
        <v>47</v>
      </c>
      <c r="B13" s="13">
        <v>187480557</v>
      </c>
      <c r="C13" s="13">
        <v>171499183.53</v>
      </c>
      <c r="D13" s="13">
        <v>15981373.469999999</v>
      </c>
      <c r="E13" s="13">
        <v>2392918.58</v>
      </c>
      <c r="F13" s="13">
        <v>3515583</v>
      </c>
      <c r="G13" s="14">
        <v>4.55</v>
      </c>
      <c r="H13" s="14">
        <v>0.68</v>
      </c>
      <c r="I13" s="13">
        <v>199409.88166666668</v>
      </c>
      <c r="J13" s="15">
        <v>7</v>
      </c>
      <c r="K13" s="13">
        <v>14585504.298333332</v>
      </c>
      <c r="L13" s="13">
        <v>1278601.067142857</v>
      </c>
      <c r="M13" s="13">
        <v>1027487.9957142855</v>
      </c>
      <c r="N13" s="197">
        <v>43647</v>
      </c>
      <c r="O13" s="16">
        <v>45474</v>
      </c>
      <c r="P13" s="13">
        <v>18908.990000000002</v>
      </c>
      <c r="Q13" s="242" t="e">
        <v>#VALUE!</v>
      </c>
    </row>
    <row r="14" spans="1:17" x14ac:dyDescent="0.2">
      <c r="A14" s="4" t="s">
        <v>54</v>
      </c>
      <c r="B14" s="13">
        <v>1022430792.45</v>
      </c>
      <c r="C14" s="13">
        <v>937220098.86000001</v>
      </c>
      <c r="D14" s="13">
        <v>85210693.590000033</v>
      </c>
      <c r="E14" s="13">
        <v>25397118.829999998</v>
      </c>
      <c r="F14" s="13">
        <v>19809810</v>
      </c>
      <c r="G14" s="14">
        <v>4.3</v>
      </c>
      <c r="H14" s="14">
        <v>1.28</v>
      </c>
      <c r="I14" s="13">
        <v>2116426.5691666664</v>
      </c>
      <c r="J14" s="15">
        <v>4</v>
      </c>
      <c r="K14" s="13">
        <v>76744987.313333362</v>
      </c>
      <c r="L14" s="13">
        <v>11397768.397500008</v>
      </c>
      <c r="M14" s="13">
        <v>8921542.1475000083</v>
      </c>
      <c r="N14" s="197">
        <v>43922</v>
      </c>
      <c r="O14" s="16">
        <v>45383</v>
      </c>
      <c r="P14" s="13">
        <v>3961347</v>
      </c>
      <c r="Q14" s="242" t="e">
        <v>#VALUE!</v>
      </c>
    </row>
    <row r="15" spans="1:17" x14ac:dyDescent="0.2">
      <c r="A15" s="4" t="s">
        <v>40</v>
      </c>
      <c r="B15" s="13">
        <v>500565228.91000003</v>
      </c>
      <c r="C15" s="13">
        <v>459008289.66000003</v>
      </c>
      <c r="D15" s="13">
        <v>41556939.25</v>
      </c>
      <c r="E15" s="13">
        <v>10428671.24</v>
      </c>
      <c r="F15" s="13">
        <v>10539100</v>
      </c>
      <c r="G15" s="14">
        <v>3.94</v>
      </c>
      <c r="H15" s="14">
        <v>0.99</v>
      </c>
      <c r="I15" s="13">
        <v>869055.93666666665</v>
      </c>
      <c r="J15" s="15">
        <v>7</v>
      </c>
      <c r="K15" s="13">
        <v>35473547.693333335</v>
      </c>
      <c r="L15" s="13">
        <v>2925534.1785714286</v>
      </c>
      <c r="M15" s="13">
        <v>2172741.3214285714</v>
      </c>
      <c r="N15" s="197">
        <v>43647</v>
      </c>
      <c r="O15" s="16">
        <v>45474</v>
      </c>
      <c r="P15" s="13">
        <v>844824.48</v>
      </c>
      <c r="Q15" s="242" t="e">
        <v>#VALUE!</v>
      </c>
    </row>
    <row r="16" spans="1:17" x14ac:dyDescent="0.2">
      <c r="A16" s="4" t="s">
        <v>16</v>
      </c>
      <c r="B16" s="13">
        <v>104394118</v>
      </c>
      <c r="C16" s="13">
        <v>94466109.590000004</v>
      </c>
      <c r="D16" s="13">
        <v>9928008.4099999964</v>
      </c>
      <c r="E16" s="13">
        <v>2347883.02</v>
      </c>
      <c r="F16" s="13">
        <v>2677355</v>
      </c>
      <c r="G16" s="14">
        <v>3.71</v>
      </c>
      <c r="H16" s="14">
        <v>0.88</v>
      </c>
      <c r="I16" s="13">
        <v>195656.91833333333</v>
      </c>
      <c r="J16" s="15">
        <v>7</v>
      </c>
      <c r="K16" s="13">
        <v>8558409.9816666637</v>
      </c>
      <c r="L16" s="13">
        <v>653328.34428571374</v>
      </c>
      <c r="M16" s="13">
        <v>462088.7014285709</v>
      </c>
      <c r="N16" s="197">
        <v>43647</v>
      </c>
      <c r="O16" s="16">
        <v>45474</v>
      </c>
      <c r="P16" s="13">
        <v>0</v>
      </c>
      <c r="Q16" s="242" t="e">
        <v>#VALUE!</v>
      </c>
    </row>
    <row r="17" spans="1:17" x14ac:dyDescent="0.2">
      <c r="A17" s="4" t="s">
        <v>21</v>
      </c>
      <c r="B17" s="13">
        <v>528328839.02999997</v>
      </c>
      <c r="C17" s="13">
        <v>478052921.14999998</v>
      </c>
      <c r="D17" s="13">
        <v>50275917.879999995</v>
      </c>
      <c r="E17" s="13">
        <v>13415555.710000001</v>
      </c>
      <c r="F17" s="13">
        <v>13880022</v>
      </c>
      <c r="G17" s="14">
        <v>3.62</v>
      </c>
      <c r="H17" s="14">
        <v>0.97</v>
      </c>
      <c r="I17" s="13">
        <v>1117962.9758333333</v>
      </c>
      <c r="J17" s="15">
        <v>7</v>
      </c>
      <c r="K17" s="13">
        <v>42450177.049166664</v>
      </c>
      <c r="L17" s="13">
        <v>3216553.4114285707</v>
      </c>
      <c r="M17" s="13">
        <v>2225123.268571428</v>
      </c>
      <c r="N17" s="197">
        <v>43647</v>
      </c>
      <c r="O17" s="16">
        <v>45474</v>
      </c>
      <c r="P17" s="13">
        <v>0</v>
      </c>
      <c r="Q17" s="242" t="e">
        <v>#VALUE!</v>
      </c>
    </row>
    <row r="18" spans="1:17" x14ac:dyDescent="0.2">
      <c r="A18" s="4" t="s">
        <v>52</v>
      </c>
      <c r="B18" s="13">
        <v>1922975437</v>
      </c>
      <c r="C18" s="13">
        <v>1846739465.9100001</v>
      </c>
      <c r="D18" s="13">
        <v>76235971.089999914</v>
      </c>
      <c r="E18" s="13">
        <v>22621037.140000001</v>
      </c>
      <c r="F18" s="13">
        <v>22385506</v>
      </c>
      <c r="G18" s="14">
        <v>3.41</v>
      </c>
      <c r="H18" s="14">
        <v>1.01</v>
      </c>
      <c r="I18" s="13">
        <v>1885086.4283333335</v>
      </c>
      <c r="J18" s="15">
        <v>7</v>
      </c>
      <c r="K18" s="13">
        <v>63040366.091666579</v>
      </c>
      <c r="L18" s="13">
        <v>4494994.1557142735</v>
      </c>
      <c r="M18" s="13">
        <v>2896029.4414285594</v>
      </c>
      <c r="N18" s="197">
        <v>43647</v>
      </c>
      <c r="O18" s="16">
        <v>45474</v>
      </c>
      <c r="P18" s="13">
        <v>2817337.03</v>
      </c>
      <c r="Q18" s="242" t="e">
        <v>#VALUE!</v>
      </c>
    </row>
    <row r="19" spans="1:17" x14ac:dyDescent="0.2">
      <c r="A19" s="4" t="s">
        <v>18</v>
      </c>
      <c r="B19" s="13">
        <v>782983569.92999995</v>
      </c>
      <c r="C19" s="13">
        <v>722790854.40999997</v>
      </c>
      <c r="D19" s="13">
        <v>60192715.519999981</v>
      </c>
      <c r="E19" s="13">
        <v>15977182.369999999</v>
      </c>
      <c r="F19" s="13">
        <v>17807834</v>
      </c>
      <c r="G19" s="14">
        <v>3.38</v>
      </c>
      <c r="H19" s="14">
        <v>0.9</v>
      </c>
      <c r="I19" s="13">
        <v>1331431.8641666665</v>
      </c>
      <c r="J19" s="15">
        <v>7</v>
      </c>
      <c r="K19" s="13">
        <v>50872692.470833316</v>
      </c>
      <c r="L19" s="13">
        <v>3511006.7885714257</v>
      </c>
      <c r="M19" s="13">
        <v>2239018.645714283</v>
      </c>
      <c r="N19" s="197">
        <v>43647</v>
      </c>
      <c r="O19" s="16">
        <v>45474</v>
      </c>
      <c r="P19" s="13">
        <v>2560213.9300000002</v>
      </c>
      <c r="Q19" s="242" t="e">
        <v>#VALUE!</v>
      </c>
    </row>
    <row r="20" spans="1:17" x14ac:dyDescent="0.2">
      <c r="A20" s="4" t="s">
        <v>30</v>
      </c>
      <c r="B20" s="13">
        <v>1141786689.4400001</v>
      </c>
      <c r="C20" s="13">
        <v>1054402232.26</v>
      </c>
      <c r="D20" s="13">
        <v>87384457.180000067</v>
      </c>
      <c r="E20" s="13">
        <v>20979795.32</v>
      </c>
      <c r="F20" s="13">
        <v>26492151</v>
      </c>
      <c r="G20" s="14">
        <v>3.3</v>
      </c>
      <c r="H20" s="14">
        <v>0.79</v>
      </c>
      <c r="I20" s="13">
        <v>1748316.2766666666</v>
      </c>
      <c r="J20" s="15">
        <v>7</v>
      </c>
      <c r="K20" s="13">
        <v>75146243.243333399</v>
      </c>
      <c r="L20" s="13">
        <v>4914307.8828571523</v>
      </c>
      <c r="M20" s="13">
        <v>3022011.3828571523</v>
      </c>
      <c r="N20" s="197">
        <v>43647</v>
      </c>
      <c r="O20" s="16">
        <v>45474</v>
      </c>
      <c r="P20" s="13">
        <v>1059929.4099999999</v>
      </c>
      <c r="Q20" s="242" t="e">
        <v>#VALUE!</v>
      </c>
    </row>
    <row r="21" spans="1:17" x14ac:dyDescent="0.2">
      <c r="A21" s="4" t="s">
        <v>19</v>
      </c>
      <c r="B21" s="13">
        <v>1408362784.9100001</v>
      </c>
      <c r="C21" s="13">
        <v>1306785373.5899999</v>
      </c>
      <c r="D21" s="13">
        <v>101577411.32000017</v>
      </c>
      <c r="E21" s="13">
        <v>22527005.170000002</v>
      </c>
      <c r="F21" s="13">
        <v>31050303</v>
      </c>
      <c r="G21" s="14">
        <v>3.27</v>
      </c>
      <c r="H21" s="14">
        <v>0.73</v>
      </c>
      <c r="I21" s="13">
        <v>1877250.4308333334</v>
      </c>
      <c r="J21" s="15">
        <v>7</v>
      </c>
      <c r="K21" s="13">
        <v>88436658.304166839</v>
      </c>
      <c r="L21" s="13">
        <v>5639543.6171428813</v>
      </c>
      <c r="M21" s="13">
        <v>3421664.8314285958</v>
      </c>
      <c r="N21" s="197">
        <v>43647</v>
      </c>
      <c r="O21" s="16">
        <v>45474</v>
      </c>
      <c r="P21" s="13">
        <v>1447501.13</v>
      </c>
      <c r="Q21" s="242" t="e">
        <v>#VALUE!</v>
      </c>
    </row>
    <row r="22" spans="1:17" x14ac:dyDescent="0.2">
      <c r="A22" s="4" t="s">
        <v>60</v>
      </c>
      <c r="B22" s="13">
        <v>775111638</v>
      </c>
      <c r="C22" s="13">
        <v>714136627.94000006</v>
      </c>
      <c r="D22" s="13">
        <v>60975010.059999943</v>
      </c>
      <c r="E22" s="13">
        <v>13459864.810000001</v>
      </c>
      <c r="F22" s="13">
        <v>18806749</v>
      </c>
      <c r="G22" s="14">
        <v>3.24</v>
      </c>
      <c r="H22" s="14">
        <v>0.72</v>
      </c>
      <c r="I22" s="13">
        <v>1121655.4008333334</v>
      </c>
      <c r="J22" s="15">
        <v>7</v>
      </c>
      <c r="K22" s="13">
        <v>53123422.254166611</v>
      </c>
      <c r="L22" s="13">
        <v>3337358.8657142776</v>
      </c>
      <c r="M22" s="13">
        <v>1994019.6514285633</v>
      </c>
      <c r="N22" s="197">
        <v>43647</v>
      </c>
      <c r="O22" s="16">
        <v>45474</v>
      </c>
      <c r="P22" s="13">
        <v>823577.25</v>
      </c>
      <c r="Q22" s="242" t="e">
        <v>#VALUE!</v>
      </c>
    </row>
    <row r="23" spans="1:17" x14ac:dyDescent="0.2">
      <c r="A23" s="4" t="s">
        <v>20</v>
      </c>
      <c r="B23" s="13">
        <v>383328400.93000001</v>
      </c>
      <c r="C23" s="13">
        <v>353159666.17000002</v>
      </c>
      <c r="D23" s="13">
        <v>30168734.75999999</v>
      </c>
      <c r="E23" s="13">
        <v>7480405.8700000001</v>
      </c>
      <c r="F23" s="13">
        <v>9345978</v>
      </c>
      <c r="G23" s="14">
        <v>3.23</v>
      </c>
      <c r="H23" s="14">
        <v>0.8</v>
      </c>
      <c r="I23" s="13">
        <v>623367.15583333338</v>
      </c>
      <c r="J23" s="15">
        <v>4</v>
      </c>
      <c r="K23" s="13">
        <v>27675266.136666656</v>
      </c>
      <c r="L23" s="13">
        <v>2869194.6899999976</v>
      </c>
      <c r="M23" s="13">
        <v>1700947.4399999976</v>
      </c>
      <c r="N23" s="197">
        <v>43556</v>
      </c>
      <c r="O23" s="16">
        <v>45383</v>
      </c>
      <c r="P23" s="13">
        <v>47027.25</v>
      </c>
      <c r="Q23" s="242" t="e">
        <v>#VALUE!</v>
      </c>
    </row>
    <row r="24" spans="1:17" x14ac:dyDescent="0.2">
      <c r="A24" s="4" t="s">
        <v>56</v>
      </c>
      <c r="B24" s="13">
        <v>1154905413</v>
      </c>
      <c r="C24" s="13">
        <v>1066096480.04</v>
      </c>
      <c r="D24" s="13">
        <v>88808932.960000038</v>
      </c>
      <c r="E24" s="13">
        <v>25259401.670000002</v>
      </c>
      <c r="F24" s="13">
        <v>27571438</v>
      </c>
      <c r="G24" s="14">
        <v>3.22</v>
      </c>
      <c r="H24" s="14">
        <v>0.92</v>
      </c>
      <c r="I24" s="13">
        <v>2104950.1391666667</v>
      </c>
      <c r="J24" s="15">
        <v>7</v>
      </c>
      <c r="K24" s="13">
        <v>74074281.985833377</v>
      </c>
      <c r="L24" s="13">
        <v>4809436.708571434</v>
      </c>
      <c r="M24" s="13">
        <v>2840048.2800000054</v>
      </c>
      <c r="N24" s="197">
        <v>43647</v>
      </c>
      <c r="O24" s="16">
        <v>45474</v>
      </c>
      <c r="P24" s="13">
        <v>1340443.99</v>
      </c>
      <c r="Q24" s="242" t="e">
        <v>#VALUE!</v>
      </c>
    </row>
    <row r="25" spans="1:17" x14ac:dyDescent="0.2">
      <c r="A25" s="4" t="s">
        <v>43</v>
      </c>
      <c r="B25" s="13">
        <v>293820746.33999997</v>
      </c>
      <c r="C25" s="13">
        <v>272141007.26999998</v>
      </c>
      <c r="D25" s="13">
        <v>21679739.069999993</v>
      </c>
      <c r="E25" s="13">
        <v>7645510.3499999996</v>
      </c>
      <c r="F25" s="13">
        <v>6746804</v>
      </c>
      <c r="G25" s="14">
        <v>3.21</v>
      </c>
      <c r="H25" s="14">
        <v>1.1299999999999999</v>
      </c>
      <c r="I25" s="13">
        <v>637125.86249999993</v>
      </c>
      <c r="J25" s="15">
        <v>7</v>
      </c>
      <c r="K25" s="13">
        <v>17219858.032499991</v>
      </c>
      <c r="L25" s="13">
        <v>1169447.2957142848</v>
      </c>
      <c r="M25" s="13">
        <v>687532.72428571328</v>
      </c>
      <c r="N25" s="197">
        <v>43647</v>
      </c>
      <c r="O25" s="16">
        <v>45474</v>
      </c>
      <c r="P25" s="13">
        <v>136673.75</v>
      </c>
      <c r="Q25" s="242" t="e">
        <v>#VALUE!</v>
      </c>
    </row>
    <row r="26" spans="1:17" x14ac:dyDescent="0.2">
      <c r="A26" s="4" t="s">
        <v>57</v>
      </c>
      <c r="B26" s="13">
        <v>2879313105.54</v>
      </c>
      <c r="C26" s="13">
        <v>2659719935.9200001</v>
      </c>
      <c r="D26" s="13">
        <v>219593169.61999989</v>
      </c>
      <c r="E26" s="13">
        <v>74357251.75</v>
      </c>
      <c r="F26" s="13">
        <v>70613641</v>
      </c>
      <c r="G26" s="14">
        <v>3.11</v>
      </c>
      <c r="H26" s="14">
        <v>1.05</v>
      </c>
      <c r="I26" s="13">
        <v>6196437.645833333</v>
      </c>
      <c r="J26" s="15">
        <v>9</v>
      </c>
      <c r="K26" s="13">
        <v>163825230.80749989</v>
      </c>
      <c r="L26" s="13">
        <v>8707320.8466666546</v>
      </c>
      <c r="M26" s="13" t="s">
        <v>192</v>
      </c>
      <c r="N26" s="197">
        <v>44075</v>
      </c>
      <c r="O26" s="16">
        <v>45536</v>
      </c>
      <c r="P26" s="13">
        <v>5331111.2699999996</v>
      </c>
      <c r="Q26" s="242" t="e">
        <v>#VALUE!</v>
      </c>
    </row>
    <row r="27" spans="1:17" x14ac:dyDescent="0.2">
      <c r="A27" s="4" t="s">
        <v>61</v>
      </c>
      <c r="B27" s="13">
        <v>522049097</v>
      </c>
      <c r="C27" s="13">
        <v>482060637.25</v>
      </c>
      <c r="D27" s="13">
        <v>39988459.75</v>
      </c>
      <c r="E27" s="13">
        <v>14538292.57</v>
      </c>
      <c r="F27" s="13">
        <v>13105608</v>
      </c>
      <c r="G27" s="14">
        <v>3.05</v>
      </c>
      <c r="H27" s="14">
        <v>1.1100000000000001</v>
      </c>
      <c r="I27" s="13">
        <v>1211524.3808333334</v>
      </c>
      <c r="J27" s="15">
        <v>7</v>
      </c>
      <c r="K27" s="13">
        <v>31507789.084166668</v>
      </c>
      <c r="L27" s="13">
        <v>1968177.6785714286</v>
      </c>
      <c r="M27" s="13" t="s">
        <v>192</v>
      </c>
      <c r="N27" s="197">
        <v>43647</v>
      </c>
      <c r="O27" s="16">
        <v>45474</v>
      </c>
      <c r="P27" s="13">
        <v>1008162.07</v>
      </c>
      <c r="Q27" s="242" t="e">
        <v>#VALUE!</v>
      </c>
    </row>
    <row r="28" spans="1:17" x14ac:dyDescent="0.2">
      <c r="A28" s="4" t="s">
        <v>50</v>
      </c>
      <c r="B28" s="13">
        <v>545409679.30999994</v>
      </c>
      <c r="C28" s="13">
        <v>510005880.31</v>
      </c>
      <c r="D28" s="13">
        <v>35403798.99999994</v>
      </c>
      <c r="E28" s="13">
        <v>17092623</v>
      </c>
      <c r="F28" s="13">
        <v>11656242</v>
      </c>
      <c r="G28" s="14">
        <v>3.04</v>
      </c>
      <c r="H28" s="14">
        <v>1.47</v>
      </c>
      <c r="I28" s="13">
        <v>1424385.25</v>
      </c>
      <c r="J28" s="15">
        <v>1</v>
      </c>
      <c r="K28" s="13">
        <v>33979413.74999994</v>
      </c>
      <c r="L28" s="13">
        <v>12091314.99999994</v>
      </c>
      <c r="M28" s="13">
        <v>6263193.9999999404</v>
      </c>
      <c r="N28" s="197">
        <v>43831</v>
      </c>
      <c r="O28" s="16">
        <v>45292</v>
      </c>
      <c r="P28" s="13">
        <v>1482961</v>
      </c>
      <c r="Q28" s="242" t="e">
        <v>#VALUE!</v>
      </c>
    </row>
    <row r="29" spans="1:17" x14ac:dyDescent="0.2">
      <c r="A29" s="4" t="s">
        <v>34</v>
      </c>
      <c r="B29" s="13">
        <v>1394382977.99</v>
      </c>
      <c r="C29" s="13">
        <v>1288571083.78</v>
      </c>
      <c r="D29" s="13">
        <v>105811894.21000004</v>
      </c>
      <c r="E29" s="13">
        <v>29710958.829999998</v>
      </c>
      <c r="F29" s="13">
        <v>34869850</v>
      </c>
      <c r="G29" s="14">
        <v>3.03</v>
      </c>
      <c r="H29" s="14">
        <v>0.85</v>
      </c>
      <c r="I29" s="13">
        <v>2475913.2358333333</v>
      </c>
      <c r="J29" s="15">
        <v>4</v>
      </c>
      <c r="K29" s="13">
        <v>95908241.26666671</v>
      </c>
      <c r="L29" s="13">
        <v>9018048.5525000095</v>
      </c>
      <c r="M29" s="13">
        <v>4659317.3025000095</v>
      </c>
      <c r="N29" s="197">
        <v>43922</v>
      </c>
      <c r="O29" s="16">
        <v>45383</v>
      </c>
      <c r="P29" s="13">
        <v>1348955.13</v>
      </c>
      <c r="Q29" s="242" t="e">
        <v>#VALUE!</v>
      </c>
    </row>
    <row r="30" spans="1:17" x14ac:dyDescent="0.2">
      <c r="A30" s="4" t="s">
        <v>38</v>
      </c>
      <c r="B30" s="13">
        <v>987264872</v>
      </c>
      <c r="C30" s="13">
        <v>918751677.50999999</v>
      </c>
      <c r="D30" s="13">
        <v>68513194.49000001</v>
      </c>
      <c r="E30" s="13">
        <v>32899484.239999998</v>
      </c>
      <c r="F30" s="13">
        <v>23383549</v>
      </c>
      <c r="G30" s="14">
        <v>2.93</v>
      </c>
      <c r="H30" s="14">
        <v>1.41</v>
      </c>
      <c r="I30" s="13">
        <v>2741623.6866666665</v>
      </c>
      <c r="J30" s="15">
        <v>4</v>
      </c>
      <c r="K30" s="13">
        <v>57546699.74333334</v>
      </c>
      <c r="L30" s="13">
        <v>5436524.1225000024</v>
      </c>
      <c r="M30" s="13" t="s">
        <v>192</v>
      </c>
      <c r="N30" s="197">
        <v>43922</v>
      </c>
      <c r="O30" s="16">
        <v>45383</v>
      </c>
      <c r="P30" s="13">
        <v>2155033.5099999998</v>
      </c>
      <c r="Q30" s="242" t="e">
        <v>#VALUE!</v>
      </c>
    </row>
    <row r="31" spans="1:17" x14ac:dyDescent="0.2">
      <c r="A31" s="4" t="s">
        <v>25</v>
      </c>
      <c r="B31" s="13">
        <v>342887810.45999998</v>
      </c>
      <c r="C31" s="13">
        <v>319045462.68000001</v>
      </c>
      <c r="D31" s="13">
        <v>23842347.779999971</v>
      </c>
      <c r="E31" s="13">
        <v>8780124.9600000009</v>
      </c>
      <c r="F31" s="13">
        <v>8236180</v>
      </c>
      <c r="G31" s="14">
        <v>2.89</v>
      </c>
      <c r="H31" s="14">
        <v>1.07</v>
      </c>
      <c r="I31" s="13">
        <v>731677.08000000007</v>
      </c>
      <c r="J31" s="15">
        <v>4</v>
      </c>
      <c r="K31" s="13">
        <v>20915639.459999971</v>
      </c>
      <c r="L31" s="13">
        <v>1842496.9449999928</v>
      </c>
      <c r="M31" s="13">
        <v>812974.44499999285</v>
      </c>
      <c r="N31" s="197">
        <v>43556</v>
      </c>
      <c r="O31" s="16">
        <v>45383</v>
      </c>
      <c r="P31" s="13">
        <v>843728.94</v>
      </c>
      <c r="Q31" s="242" t="e">
        <v>#VALUE!</v>
      </c>
    </row>
    <row r="32" spans="1:17" x14ac:dyDescent="0.2">
      <c r="A32" s="4" t="s">
        <v>42</v>
      </c>
      <c r="B32" s="13">
        <v>346058940</v>
      </c>
      <c r="C32" s="13">
        <v>319084391.12</v>
      </c>
      <c r="D32" s="13">
        <v>26974548.879999995</v>
      </c>
      <c r="E32" s="13">
        <v>6147972.8600000003</v>
      </c>
      <c r="F32" s="13">
        <v>9353201</v>
      </c>
      <c r="G32" s="14">
        <v>2.88</v>
      </c>
      <c r="H32" s="14">
        <v>0.66</v>
      </c>
      <c r="I32" s="13">
        <v>512331.07166666671</v>
      </c>
      <c r="J32" s="15">
        <v>1</v>
      </c>
      <c r="K32" s="13">
        <v>26462217.80833333</v>
      </c>
      <c r="L32" s="13">
        <v>8268146.8799999952</v>
      </c>
      <c r="M32" s="13">
        <v>3591546.3799999952</v>
      </c>
      <c r="N32" s="197">
        <v>43831</v>
      </c>
      <c r="O32" s="16">
        <v>45292</v>
      </c>
      <c r="P32" s="13">
        <v>502016.83</v>
      </c>
      <c r="Q32" s="242" t="e">
        <v>#VALUE!</v>
      </c>
    </row>
    <row r="33" spans="1:17" x14ac:dyDescent="0.2">
      <c r="A33" s="4" t="s">
        <v>55</v>
      </c>
      <c r="B33" s="13">
        <v>248558577</v>
      </c>
      <c r="C33" s="13">
        <v>232365006.27000001</v>
      </c>
      <c r="D33" s="13">
        <v>16193570.729999989</v>
      </c>
      <c r="E33" s="13">
        <v>6077557.4299999997</v>
      </c>
      <c r="F33" s="13">
        <v>5790145</v>
      </c>
      <c r="G33" s="14">
        <v>2.8</v>
      </c>
      <c r="H33" s="14">
        <v>1.05</v>
      </c>
      <c r="I33" s="13">
        <v>506463.11916666664</v>
      </c>
      <c r="J33" s="15">
        <v>1</v>
      </c>
      <c r="K33" s="13">
        <v>15687107.610833323</v>
      </c>
      <c r="L33" s="13">
        <v>4613280.7299999893</v>
      </c>
      <c r="M33" s="13">
        <v>1718208.2299999893</v>
      </c>
      <c r="N33" s="197">
        <v>43831</v>
      </c>
      <c r="O33" s="16">
        <v>45292</v>
      </c>
      <c r="P33" s="13">
        <v>315290.81</v>
      </c>
      <c r="Q33" s="242" t="e">
        <v>#VALUE!</v>
      </c>
    </row>
    <row r="34" spans="1:17" x14ac:dyDescent="0.2">
      <c r="A34" s="4" t="s">
        <v>49</v>
      </c>
      <c r="B34" s="13">
        <v>685388676.61000001</v>
      </c>
      <c r="C34" s="13">
        <v>647049533.32000005</v>
      </c>
      <c r="D34" s="13">
        <v>38339143.289999962</v>
      </c>
      <c r="E34" s="13">
        <v>12917658.43</v>
      </c>
      <c r="F34" s="13">
        <v>13963452</v>
      </c>
      <c r="G34" s="14">
        <v>2.75</v>
      </c>
      <c r="H34" s="14">
        <v>0.93</v>
      </c>
      <c r="I34" s="13">
        <v>1076471.5358333334</v>
      </c>
      <c r="J34" s="15">
        <v>4</v>
      </c>
      <c r="K34" s="13">
        <v>34033257.146666631</v>
      </c>
      <c r="L34" s="13">
        <v>2603059.8224999905</v>
      </c>
      <c r="M34" s="13" t="s">
        <v>192</v>
      </c>
      <c r="N34" s="197">
        <v>43922</v>
      </c>
      <c r="O34" s="16">
        <v>45383</v>
      </c>
      <c r="P34" s="13">
        <v>1171982.0900000001</v>
      </c>
      <c r="Q34" s="242" t="e">
        <v>#VALUE!</v>
      </c>
    </row>
    <row r="35" spans="1:17" x14ac:dyDescent="0.2">
      <c r="A35" s="4" t="s">
        <v>27</v>
      </c>
      <c r="B35" s="13">
        <v>1309738768.5599999</v>
      </c>
      <c r="C35" s="13">
        <v>1225842456.8099999</v>
      </c>
      <c r="D35" s="13">
        <v>83896311.75</v>
      </c>
      <c r="E35" s="13">
        <v>26870229.809999999</v>
      </c>
      <c r="F35" s="13">
        <v>30738746</v>
      </c>
      <c r="G35" s="14">
        <v>2.73</v>
      </c>
      <c r="H35" s="14">
        <v>0.87</v>
      </c>
      <c r="I35" s="13">
        <v>2239185.8174999999</v>
      </c>
      <c r="J35" s="15">
        <v>7</v>
      </c>
      <c r="K35" s="13">
        <v>68222011.027500004</v>
      </c>
      <c r="L35" s="13">
        <v>3202688.5357142859</v>
      </c>
      <c r="M35" s="13" t="s">
        <v>192</v>
      </c>
      <c r="N35" s="197">
        <v>43647</v>
      </c>
      <c r="O35" s="16">
        <v>45474</v>
      </c>
      <c r="P35" s="13">
        <v>3672983.24</v>
      </c>
      <c r="Q35" s="242" t="e">
        <v>#VALUE!</v>
      </c>
    </row>
    <row r="36" spans="1:17" x14ac:dyDescent="0.2">
      <c r="A36" s="4" t="s">
        <v>51</v>
      </c>
      <c r="B36" s="13">
        <v>1960284894.29</v>
      </c>
      <c r="C36" s="13">
        <v>1853031982.29</v>
      </c>
      <c r="D36" s="13">
        <v>107252912</v>
      </c>
      <c r="E36" s="13">
        <v>39141049.479999997</v>
      </c>
      <c r="F36" s="13">
        <v>41120349</v>
      </c>
      <c r="G36" s="14">
        <v>2.61</v>
      </c>
      <c r="H36" s="14">
        <v>0.95</v>
      </c>
      <c r="I36" s="13">
        <v>3261754.1233333331</v>
      </c>
      <c r="J36" s="15">
        <v>1</v>
      </c>
      <c r="K36" s="13">
        <v>103991157.87666667</v>
      </c>
      <c r="L36" s="13">
        <v>25012214</v>
      </c>
      <c r="M36" s="13">
        <v>4452039.5</v>
      </c>
      <c r="N36" s="197">
        <v>43831</v>
      </c>
      <c r="O36" s="16">
        <v>45292</v>
      </c>
      <c r="P36" s="13">
        <v>3823581.9</v>
      </c>
      <c r="Q36" s="242" t="e">
        <v>#VALUE!</v>
      </c>
    </row>
    <row r="37" spans="1:17" x14ac:dyDescent="0.2">
      <c r="A37" s="4" t="s">
        <v>33</v>
      </c>
      <c r="B37" s="13">
        <v>306076596.48000002</v>
      </c>
      <c r="C37" s="13">
        <v>285182518.93000001</v>
      </c>
      <c r="D37" s="13">
        <v>20894077.550000012</v>
      </c>
      <c r="E37" s="13">
        <v>7972946.9500000002</v>
      </c>
      <c r="F37" s="13">
        <v>8165077</v>
      </c>
      <c r="G37" s="14">
        <v>2.56</v>
      </c>
      <c r="H37" s="14">
        <v>0.98</v>
      </c>
      <c r="I37" s="13">
        <v>664412.24583333335</v>
      </c>
      <c r="J37" s="15">
        <v>7</v>
      </c>
      <c r="K37" s="13">
        <v>16243191.829166679</v>
      </c>
      <c r="L37" s="13" t="s">
        <v>192</v>
      </c>
      <c r="M37" s="13" t="s">
        <v>192</v>
      </c>
      <c r="N37" s="197">
        <v>43647</v>
      </c>
      <c r="O37" s="16">
        <v>45474</v>
      </c>
      <c r="P37" s="13">
        <v>1232673.1399999999</v>
      </c>
      <c r="Q37" s="242" t="e">
        <v>#VALUE!</v>
      </c>
    </row>
    <row r="38" spans="1:17" x14ac:dyDescent="0.2">
      <c r="A38" s="4" t="s">
        <v>45</v>
      </c>
      <c r="B38" s="13">
        <v>1181321553.53</v>
      </c>
      <c r="C38" s="13">
        <v>1061270523.22</v>
      </c>
      <c r="D38" s="13">
        <v>120051030.30999994</v>
      </c>
      <c r="E38" s="13">
        <v>62845542.75</v>
      </c>
      <c r="F38" s="13">
        <v>47769843</v>
      </c>
      <c r="G38" s="14">
        <v>2.5099999999999998</v>
      </c>
      <c r="H38" s="14">
        <v>1.32</v>
      </c>
      <c r="I38" s="13">
        <v>5237128.5625</v>
      </c>
      <c r="J38" s="15">
        <v>1</v>
      </c>
      <c r="K38" s="13">
        <v>114813901.74749994</v>
      </c>
      <c r="L38" s="13">
        <v>24511344.309999943</v>
      </c>
      <c r="M38" s="13" t="s">
        <v>192</v>
      </c>
      <c r="N38" s="197">
        <v>43831</v>
      </c>
      <c r="O38" s="16">
        <v>45292</v>
      </c>
      <c r="P38" s="13">
        <v>1704624.32</v>
      </c>
      <c r="Q38" s="242" t="e">
        <v>#VALUE!</v>
      </c>
    </row>
    <row r="39" spans="1:17" x14ac:dyDescent="0.2">
      <c r="A39" s="4" t="s">
        <v>63</v>
      </c>
      <c r="B39" s="13">
        <v>1082941284</v>
      </c>
      <c r="C39" s="13">
        <v>1016601795.6900001</v>
      </c>
      <c r="D39" s="13">
        <v>66339488.309999943</v>
      </c>
      <c r="E39" s="13">
        <v>29244093.050000001</v>
      </c>
      <c r="F39" s="13">
        <v>27168342</v>
      </c>
      <c r="G39" s="14">
        <v>2.44</v>
      </c>
      <c r="H39" s="14">
        <v>1.08</v>
      </c>
      <c r="I39" s="13">
        <v>2437007.7541666669</v>
      </c>
      <c r="J39" s="15">
        <v>4</v>
      </c>
      <c r="K39" s="13">
        <v>56591457.293333277</v>
      </c>
      <c r="L39" s="13">
        <v>3000701.0774999857</v>
      </c>
      <c r="M39" s="13" t="s">
        <v>192</v>
      </c>
      <c r="N39" s="197">
        <v>43922</v>
      </c>
      <c r="O39" s="16">
        <v>45383</v>
      </c>
      <c r="P39" s="13">
        <v>4710333.67</v>
      </c>
      <c r="Q39" s="242" t="e">
        <v>#VALUE!</v>
      </c>
    </row>
    <row r="40" spans="1:17" x14ac:dyDescent="0.2">
      <c r="A40" s="4" t="s">
        <v>28</v>
      </c>
      <c r="B40" s="13">
        <v>1035563531</v>
      </c>
      <c r="C40" s="13">
        <v>976818563.53999996</v>
      </c>
      <c r="D40" s="13">
        <v>58744967.460000038</v>
      </c>
      <c r="E40" s="13">
        <v>17722598.41</v>
      </c>
      <c r="F40" s="13">
        <v>24645105</v>
      </c>
      <c r="G40" s="14">
        <v>2.38</v>
      </c>
      <c r="H40" s="14">
        <v>0.72</v>
      </c>
      <c r="I40" s="13">
        <v>1476883.2008333334</v>
      </c>
      <c r="J40" s="15">
        <v>1</v>
      </c>
      <c r="K40" s="13">
        <v>57268084.259166703</v>
      </c>
      <c r="L40" s="13">
        <v>9454757.4600000381</v>
      </c>
      <c r="M40" s="13" t="s">
        <v>192</v>
      </c>
      <c r="N40" s="197">
        <v>43831</v>
      </c>
      <c r="O40" s="16">
        <v>45292</v>
      </c>
      <c r="P40" s="13">
        <v>1918506.51</v>
      </c>
      <c r="Q40" s="242" t="e">
        <v>#VALUE!</v>
      </c>
    </row>
    <row r="41" spans="1:17" x14ac:dyDescent="0.2">
      <c r="A41" s="4" t="s">
        <v>37</v>
      </c>
      <c r="B41" s="13">
        <v>1215383392.1700001</v>
      </c>
      <c r="C41" s="13">
        <v>1157542144.8199999</v>
      </c>
      <c r="D41" s="13">
        <v>57841247.350000143</v>
      </c>
      <c r="E41" s="13">
        <v>17384483.539999999</v>
      </c>
      <c r="F41" s="13">
        <v>24335266</v>
      </c>
      <c r="G41" s="14">
        <v>2.38</v>
      </c>
      <c r="H41" s="14">
        <v>0.71</v>
      </c>
      <c r="I41" s="13">
        <v>1448706.9616666667</v>
      </c>
      <c r="J41" s="15">
        <v>7</v>
      </c>
      <c r="K41" s="13">
        <v>47700298.618333474</v>
      </c>
      <c r="L41" s="13" t="s">
        <v>192</v>
      </c>
      <c r="M41" s="13" t="s">
        <v>192</v>
      </c>
      <c r="N41" s="197">
        <v>43647</v>
      </c>
      <c r="O41" s="16">
        <v>45474</v>
      </c>
      <c r="P41" s="13">
        <v>711445.55</v>
      </c>
      <c r="Q41" s="242" t="e">
        <v>#VALUE!</v>
      </c>
    </row>
    <row r="42" spans="1:17" x14ac:dyDescent="0.2">
      <c r="A42" s="4" t="s">
        <v>32</v>
      </c>
      <c r="B42" s="13">
        <v>497245980</v>
      </c>
      <c r="C42" s="13">
        <v>469467986.56999999</v>
      </c>
      <c r="D42" s="13">
        <v>27777993.430000007</v>
      </c>
      <c r="E42" s="13">
        <v>11530030.82</v>
      </c>
      <c r="F42" s="13">
        <v>11808636</v>
      </c>
      <c r="G42" s="14">
        <v>2.35</v>
      </c>
      <c r="H42" s="14">
        <v>0.98</v>
      </c>
      <c r="I42" s="13">
        <v>960835.90166666673</v>
      </c>
      <c r="J42" s="15">
        <v>1</v>
      </c>
      <c r="K42" s="13">
        <v>26817157.52833334</v>
      </c>
      <c r="L42" s="13">
        <v>4160721.4300000072</v>
      </c>
      <c r="M42" s="13" t="s">
        <v>192</v>
      </c>
      <c r="N42" s="197">
        <v>43831</v>
      </c>
      <c r="O42" s="16">
        <v>45292</v>
      </c>
      <c r="P42" s="13">
        <v>952417.55</v>
      </c>
      <c r="Q42" s="242" t="e">
        <v>#VALUE!</v>
      </c>
    </row>
    <row r="43" spans="1:17" x14ac:dyDescent="0.2">
      <c r="A43" s="4" t="s">
        <v>24</v>
      </c>
      <c r="B43" s="13">
        <v>1601312682.0699999</v>
      </c>
      <c r="C43" s="13">
        <v>1504719780.1900001</v>
      </c>
      <c r="D43" s="13">
        <v>96592901.879999876</v>
      </c>
      <c r="E43" s="13">
        <v>39459146.649999999</v>
      </c>
      <c r="F43" s="13">
        <v>41389514</v>
      </c>
      <c r="G43" s="14">
        <v>2.33</v>
      </c>
      <c r="H43" s="14">
        <v>0.95</v>
      </c>
      <c r="I43" s="13">
        <v>3288262.2208333332</v>
      </c>
      <c r="J43" s="15">
        <v>7</v>
      </c>
      <c r="K43" s="13">
        <v>73575066.334166542</v>
      </c>
      <c r="L43" s="13" t="s">
        <v>192</v>
      </c>
      <c r="M43" s="13" t="s">
        <v>192</v>
      </c>
      <c r="N43" s="197">
        <v>43647</v>
      </c>
      <c r="O43" s="16">
        <v>45474</v>
      </c>
      <c r="P43" s="13">
        <v>1575239.91</v>
      </c>
      <c r="Q43" s="242" t="e">
        <v>#VALUE!</v>
      </c>
    </row>
    <row r="44" spans="1:17" x14ac:dyDescent="0.2">
      <c r="A44" s="4" t="s">
        <v>29</v>
      </c>
      <c r="B44" s="13">
        <v>660266370</v>
      </c>
      <c r="C44" s="13">
        <v>627998954.94000006</v>
      </c>
      <c r="D44" s="13">
        <v>32267415.059999943</v>
      </c>
      <c r="E44" s="13">
        <v>11642950.92</v>
      </c>
      <c r="F44" s="13">
        <v>14821600</v>
      </c>
      <c r="G44" s="14">
        <v>2.1800000000000002</v>
      </c>
      <c r="H44" s="14">
        <v>0.79</v>
      </c>
      <c r="I44" s="13">
        <v>970245.91</v>
      </c>
      <c r="J44" s="15">
        <v>1</v>
      </c>
      <c r="K44" s="13">
        <v>31297169.149999943</v>
      </c>
      <c r="L44" s="13">
        <v>2624215.0599999428</v>
      </c>
      <c r="M44" s="13" t="s">
        <v>192</v>
      </c>
      <c r="N44" s="197">
        <v>43466</v>
      </c>
      <c r="O44" s="16">
        <v>45292</v>
      </c>
      <c r="P44" s="13">
        <v>1145735.07</v>
      </c>
      <c r="Q44" s="242" t="e">
        <v>#VALUE!</v>
      </c>
    </row>
    <row r="45" spans="1:17" x14ac:dyDescent="0.2">
      <c r="A45" s="4" t="s">
        <v>58</v>
      </c>
      <c r="B45" s="13">
        <v>238203233</v>
      </c>
      <c r="C45" s="13">
        <v>226447797.88999999</v>
      </c>
      <c r="D45" s="13">
        <v>11755435.110000014</v>
      </c>
      <c r="E45" s="13">
        <v>5633398.1200000001</v>
      </c>
      <c r="F45" s="13">
        <v>5501208</v>
      </c>
      <c r="G45" s="14">
        <v>2.14</v>
      </c>
      <c r="H45" s="14">
        <v>1.02</v>
      </c>
      <c r="I45" s="13">
        <v>469449.84333333332</v>
      </c>
      <c r="J45" s="15">
        <v>7</v>
      </c>
      <c r="K45" s="13">
        <v>8469286.2066666819</v>
      </c>
      <c r="L45" s="13" t="s">
        <v>192</v>
      </c>
      <c r="M45" s="13" t="s">
        <v>192</v>
      </c>
      <c r="N45" s="197">
        <v>43647</v>
      </c>
      <c r="O45" s="16">
        <v>45474</v>
      </c>
      <c r="P45" s="13">
        <v>0</v>
      </c>
      <c r="Q45" s="242" t="e">
        <v>#VALUE!</v>
      </c>
    </row>
    <row r="46" spans="1:17" x14ac:dyDescent="0.2">
      <c r="A46" s="4" t="s">
        <v>41</v>
      </c>
      <c r="B46" s="13">
        <v>95802497</v>
      </c>
      <c r="C46" s="13">
        <v>89816668.900000006</v>
      </c>
      <c r="D46" s="13">
        <v>5985828.099999994</v>
      </c>
      <c r="E46" s="13">
        <v>4560319.3099999996</v>
      </c>
      <c r="F46" s="13">
        <v>2895399</v>
      </c>
      <c r="G46" s="14">
        <v>2.0699999999999998</v>
      </c>
      <c r="H46" s="14">
        <v>1.58</v>
      </c>
      <c r="I46" s="13">
        <v>380026.60916666663</v>
      </c>
      <c r="J46" s="15">
        <v>7</v>
      </c>
      <c r="K46" s="13">
        <v>3325641.8358333278</v>
      </c>
      <c r="L46" s="13" t="s">
        <v>192</v>
      </c>
      <c r="M46" s="13" t="s">
        <v>192</v>
      </c>
      <c r="N46" s="197">
        <v>43647</v>
      </c>
      <c r="O46" s="16">
        <v>45474</v>
      </c>
      <c r="P46" s="13">
        <v>0</v>
      </c>
      <c r="Q46" s="242" t="e">
        <v>#VALUE!</v>
      </c>
    </row>
    <row r="47" spans="1:17" x14ac:dyDescent="0.2">
      <c r="A47" s="4" t="s">
        <v>15</v>
      </c>
      <c r="B47" s="13">
        <v>1062416247.5</v>
      </c>
      <c r="C47" s="13">
        <v>1017067038.5700001</v>
      </c>
      <c r="D47" s="13">
        <v>45349208.929999948</v>
      </c>
      <c r="E47" s="13">
        <v>23415710.699999999</v>
      </c>
      <c r="F47" s="13">
        <v>23271036</v>
      </c>
      <c r="G47" s="14">
        <v>1.95</v>
      </c>
      <c r="H47" s="14">
        <v>1.01</v>
      </c>
      <c r="I47" s="13">
        <v>1951309.2249999999</v>
      </c>
      <c r="J47" s="15">
        <v>4</v>
      </c>
      <c r="K47" s="13">
        <v>37543972.029999949</v>
      </c>
      <c r="L47" s="13" t="s">
        <v>192</v>
      </c>
      <c r="M47" s="13" t="s">
        <v>192</v>
      </c>
      <c r="N47" s="197">
        <v>43556</v>
      </c>
      <c r="O47" s="16">
        <v>45383</v>
      </c>
      <c r="P47" s="13">
        <v>187283.05</v>
      </c>
      <c r="Q47" s="242" t="e">
        <v>#VALUE!</v>
      </c>
    </row>
    <row r="48" spans="1:17" x14ac:dyDescent="0.2">
      <c r="A48" s="4" t="s">
        <v>59</v>
      </c>
      <c r="B48" s="13">
        <v>270139589</v>
      </c>
      <c r="C48" s="13">
        <v>256047136.47999999</v>
      </c>
      <c r="D48" s="13">
        <v>14092452.520000011</v>
      </c>
      <c r="E48" s="13">
        <v>6920257.0199999996</v>
      </c>
      <c r="F48" s="13">
        <v>7334647</v>
      </c>
      <c r="G48" s="14">
        <v>1.92</v>
      </c>
      <c r="H48" s="14">
        <v>0.94</v>
      </c>
      <c r="I48" s="13">
        <v>576688.08499999996</v>
      </c>
      <c r="J48" s="15">
        <v>7</v>
      </c>
      <c r="K48" s="13">
        <v>10055635.925000012</v>
      </c>
      <c r="L48" s="13" t="s">
        <v>192</v>
      </c>
      <c r="M48" s="13" t="s">
        <v>192</v>
      </c>
      <c r="N48" s="197">
        <v>43647</v>
      </c>
      <c r="O48" s="16">
        <v>45474</v>
      </c>
      <c r="P48" s="13">
        <v>796703</v>
      </c>
      <c r="Q48" s="242" t="e">
        <v>#VALUE!</v>
      </c>
    </row>
    <row r="49" spans="1:17" x14ac:dyDescent="0.2">
      <c r="A49" s="4" t="s">
        <v>31</v>
      </c>
      <c r="B49" s="13">
        <v>1182616448</v>
      </c>
      <c r="C49" s="13">
        <v>1139726426.79</v>
      </c>
      <c r="D49" s="13">
        <v>42890021.210000038</v>
      </c>
      <c r="E49" s="13">
        <v>22509195.789999999</v>
      </c>
      <c r="F49" s="13">
        <v>22759065</v>
      </c>
      <c r="G49" s="14">
        <v>1.88</v>
      </c>
      <c r="H49" s="14">
        <v>0.99</v>
      </c>
      <c r="I49" s="13">
        <v>1875766.3158333332</v>
      </c>
      <c r="J49" s="15">
        <v>4</v>
      </c>
      <c r="K49" s="13">
        <v>35386955.946666703</v>
      </c>
      <c r="L49" s="13" t="s">
        <v>192</v>
      </c>
      <c r="M49" s="13" t="s">
        <v>192</v>
      </c>
      <c r="N49" s="197">
        <v>43922</v>
      </c>
      <c r="O49" s="16">
        <v>45383</v>
      </c>
      <c r="P49" s="13">
        <v>4577311.45</v>
      </c>
      <c r="Q49" s="242" t="e">
        <v>#VALUE!</v>
      </c>
    </row>
    <row r="50" spans="1:17" x14ac:dyDescent="0.2">
      <c r="A50" s="4" t="s">
        <v>17</v>
      </c>
      <c r="B50" s="13">
        <v>379033306</v>
      </c>
      <c r="C50" s="13">
        <v>364531179.73000002</v>
      </c>
      <c r="D50" s="13">
        <v>14502126.269999981</v>
      </c>
      <c r="E50" s="13">
        <v>9788819.8699999992</v>
      </c>
      <c r="F50" s="13">
        <v>9905563</v>
      </c>
      <c r="G50" s="14">
        <v>1.46</v>
      </c>
      <c r="H50" s="14">
        <v>0.99</v>
      </c>
      <c r="I50" s="13">
        <v>815734.98916666664</v>
      </c>
      <c r="J50" s="15">
        <v>7</v>
      </c>
      <c r="K50" s="13">
        <v>8791981.3458333146</v>
      </c>
      <c r="L50" s="13" t="s">
        <v>192</v>
      </c>
      <c r="M50" s="13" t="s">
        <v>192</v>
      </c>
      <c r="N50" s="197">
        <v>43647</v>
      </c>
      <c r="O50" s="16">
        <v>45474</v>
      </c>
      <c r="P50" s="13">
        <v>1024548.35</v>
      </c>
      <c r="Q50" s="242" t="e">
        <v>#VALUE!</v>
      </c>
    </row>
    <row r="51" spans="1:17" x14ac:dyDescent="0.2">
      <c r="A51" s="4" t="s">
        <v>48</v>
      </c>
      <c r="B51" s="13">
        <v>1894617832.77</v>
      </c>
      <c r="C51" s="13">
        <v>1829004918.0599999</v>
      </c>
      <c r="D51" s="13">
        <v>65612914.710000038</v>
      </c>
      <c r="E51" s="13">
        <v>44236263.140000001</v>
      </c>
      <c r="F51" s="13">
        <v>45251402</v>
      </c>
      <c r="G51" s="14">
        <v>1.45</v>
      </c>
      <c r="H51" s="14">
        <v>0.98</v>
      </c>
      <c r="I51" s="13">
        <v>3686355.2616666667</v>
      </c>
      <c r="J51" s="15">
        <v>7</v>
      </c>
      <c r="K51" s="13">
        <v>39808427.878333375</v>
      </c>
      <c r="L51" s="13" t="s">
        <v>192</v>
      </c>
      <c r="M51" s="13" t="s">
        <v>192</v>
      </c>
      <c r="N51" s="197">
        <v>43647</v>
      </c>
      <c r="O51" s="16">
        <v>45474</v>
      </c>
      <c r="P51" s="13">
        <v>5538138.9400000004</v>
      </c>
      <c r="Q51" s="242" t="e">
        <v>#VALUE!</v>
      </c>
    </row>
    <row r="52" spans="1:17" x14ac:dyDescent="0.2">
      <c r="A52" s="4" t="s">
        <v>22</v>
      </c>
      <c r="B52" s="13">
        <v>72717998</v>
      </c>
      <c r="C52" s="13">
        <v>70979356.209999993</v>
      </c>
      <c r="D52" s="18">
        <v>1738641.7900000066</v>
      </c>
      <c r="E52" s="13">
        <v>2333936.2000000002</v>
      </c>
      <c r="F52" s="13">
        <v>2684959</v>
      </c>
      <c r="G52" s="14">
        <v>0.65</v>
      </c>
      <c r="H52" s="14">
        <v>0.87</v>
      </c>
      <c r="I52" s="18">
        <v>194494.68333333335</v>
      </c>
      <c r="J52" s="15">
        <v>7</v>
      </c>
      <c r="K52" s="18">
        <v>377179.00666667311</v>
      </c>
      <c r="L52" s="18" t="s">
        <v>192</v>
      </c>
      <c r="M52" s="18" t="s">
        <v>192</v>
      </c>
      <c r="N52" s="198">
        <v>43647</v>
      </c>
      <c r="O52" s="16">
        <v>45474</v>
      </c>
      <c r="P52" s="13">
        <v>348656.26</v>
      </c>
      <c r="Q52" s="242" t="e">
        <v>#VALUE!</v>
      </c>
    </row>
    <row r="53" spans="1:17" x14ac:dyDescent="0.25">
      <c r="A53" s="36" t="s">
        <v>65</v>
      </c>
      <c r="B53" s="33">
        <v>42557496121.709999</v>
      </c>
      <c r="C53" s="13">
        <v>39354202635.809998</v>
      </c>
      <c r="D53" s="33">
        <v>3203293485.9000015</v>
      </c>
      <c r="E53" s="13">
        <v>910931309.07000005</v>
      </c>
      <c r="F53" s="13">
        <v>986809248</v>
      </c>
      <c r="G53" s="14">
        <v>3.25</v>
      </c>
      <c r="H53" s="14">
        <v>0.92</v>
      </c>
      <c r="I53" s="33">
        <v>75910942.422499999</v>
      </c>
      <c r="J53" s="34"/>
      <c r="K53" s="35"/>
      <c r="L53" s="35"/>
      <c r="M53" s="35"/>
      <c r="N53" s="35"/>
      <c r="O53" s="35"/>
      <c r="P53" s="33">
        <v>78924293.790000007</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36</v>
      </c>
      <c r="H56" s="25"/>
    </row>
    <row r="57" spans="1:17" ht="27" customHeight="1" thickBot="1" x14ac:dyDescent="0.3">
      <c r="D57" s="248" t="s">
        <v>67</v>
      </c>
      <c r="E57" s="249"/>
      <c r="F57" s="249"/>
      <c r="G57" s="27"/>
      <c r="H57" s="28">
        <v>36</v>
      </c>
    </row>
  </sheetData>
  <mergeCells count="2">
    <mergeCell ref="D56:F56"/>
    <mergeCell ref="D57:F57"/>
  </mergeCells>
  <conditionalFormatting sqref="G54">
    <cfRule type="cellIs" dxfId="433" priority="13" stopIfTrue="1" operator="greaterThan">
      <formula>2.5</formula>
    </cfRule>
    <cfRule type="cellIs" dxfId="432" priority="14" stopIfTrue="1" operator="between">
      <formula>2.01</formula>
      <formula>2.5</formula>
    </cfRule>
  </conditionalFormatting>
  <conditionalFormatting sqref="H3:H53">
    <cfRule type="cellIs" dxfId="431" priority="12" stopIfTrue="1" operator="lessThan">
      <formula>1</formula>
    </cfRule>
  </conditionalFormatting>
  <conditionalFormatting sqref="G3:G53">
    <cfRule type="cellIs" dxfId="430" priority="10" stopIfTrue="1" operator="greaterThan">
      <formula>2.5</formula>
    </cfRule>
    <cfRule type="cellIs" dxfId="429" priority="11" stopIfTrue="1" operator="between">
      <formula>2.01</formula>
      <formula>2.5</formula>
    </cfRule>
  </conditionalFormatting>
  <conditionalFormatting sqref="K3:K52">
    <cfRule type="cellIs" dxfId="428" priority="8" stopIfTrue="1" operator="greaterThan">
      <formula>$F3*2.5</formula>
    </cfRule>
    <cfRule type="cellIs" dxfId="427" priority="9" stopIfTrue="1" operator="between">
      <formula>$F3*2</formula>
      <formula>$F3*2.5</formula>
    </cfRule>
  </conditionalFormatting>
  <conditionalFormatting sqref="G54">
    <cfRule type="cellIs" dxfId="426" priority="6" stopIfTrue="1" operator="greaterThan">
      <formula>2.5</formula>
    </cfRule>
    <cfRule type="cellIs" dxfId="425" priority="7" stopIfTrue="1" operator="between">
      <formula>2.01</formula>
      <formula>2.5</formula>
    </cfRule>
  </conditionalFormatting>
  <conditionalFormatting sqref="H3:H53">
    <cfRule type="cellIs" dxfId="424" priority="5" stopIfTrue="1" operator="lessThan">
      <formula>1</formula>
    </cfRule>
  </conditionalFormatting>
  <conditionalFormatting sqref="G3:G53">
    <cfRule type="cellIs" dxfId="423" priority="3" stopIfTrue="1" operator="greaterThan">
      <formula>2.5</formula>
    </cfRule>
    <cfRule type="cellIs" dxfId="422" priority="4" stopIfTrue="1" operator="between">
      <formula>2.01</formula>
      <formula>2.5</formula>
    </cfRule>
  </conditionalFormatting>
  <conditionalFormatting sqref="K3:K52">
    <cfRule type="cellIs" dxfId="421" priority="1" stopIfTrue="1" operator="greaterThan">
      <formula>$F3*2.5</formula>
    </cfRule>
    <cfRule type="cellIs" dxfId="420"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24A7A-62ED-4786-8FC0-F51B43AD092C}">
  <sheetPr>
    <tabColor rgb="FF92D050"/>
    <pageSetUpPr fitToPage="1"/>
  </sheetPr>
  <dimension ref="A1:Q57"/>
  <sheetViews>
    <sheetView workbookViewId="0">
      <pane xSplit="1" ySplit="2" topLeftCell="B6"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7.7265625" style="23" hidden="1" customWidth="1"/>
    <col min="17" max="17" width="12.81640625" style="17" hidden="1" customWidth="1"/>
    <col min="18" max="16384" width="9.1796875" style="17"/>
  </cols>
  <sheetData>
    <row r="1" spans="1:17" s="8" customFormat="1" ht="18" x14ac:dyDescent="0.25">
      <c r="A1" s="4" t="s">
        <v>262</v>
      </c>
      <c r="B1" s="196" t="s">
        <v>263</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46</v>
      </c>
      <c r="B3" s="13">
        <v>1788595890.3599999</v>
      </c>
      <c r="C3" s="13">
        <v>1525309664.45</v>
      </c>
      <c r="D3" s="13">
        <v>263286225.90999985</v>
      </c>
      <c r="E3" s="13">
        <v>31752415.800000001</v>
      </c>
      <c r="F3" s="13">
        <v>46272979</v>
      </c>
      <c r="G3" s="14">
        <v>5.69</v>
      </c>
      <c r="H3" s="14">
        <v>0.69</v>
      </c>
      <c r="I3" s="13">
        <v>2646034.65</v>
      </c>
      <c r="J3" s="15">
        <v>0</v>
      </c>
      <c r="K3" s="13">
        <v>263286225.90999985</v>
      </c>
      <c r="L3" s="13" t="s">
        <v>193</v>
      </c>
      <c r="M3" s="13" t="s">
        <v>193</v>
      </c>
      <c r="N3" s="197">
        <v>43831</v>
      </c>
      <c r="O3" s="16">
        <v>45292</v>
      </c>
      <c r="P3" s="13">
        <v>1226782.57</v>
      </c>
      <c r="Q3" s="243" t="e">
        <v>#VALUE!</v>
      </c>
    </row>
    <row r="4" spans="1:17" x14ac:dyDescent="0.2">
      <c r="A4" s="4" t="s">
        <v>62</v>
      </c>
      <c r="B4" s="13">
        <v>708696383.32000005</v>
      </c>
      <c r="C4" s="13">
        <v>630425318.38</v>
      </c>
      <c r="D4" s="13">
        <v>78271064.940000057</v>
      </c>
      <c r="E4" s="13">
        <v>12892505.99</v>
      </c>
      <c r="F4" s="13">
        <v>13833071</v>
      </c>
      <c r="G4" s="14">
        <v>5.66</v>
      </c>
      <c r="H4" s="14">
        <v>0.93</v>
      </c>
      <c r="I4" s="13">
        <v>1074375.4991666668</v>
      </c>
      <c r="J4" s="15">
        <v>6</v>
      </c>
      <c r="K4" s="13">
        <v>71824811.945000052</v>
      </c>
      <c r="L4" s="13">
        <v>8434153.8233333435</v>
      </c>
      <c r="M4" s="13">
        <v>7281397.9066666765</v>
      </c>
      <c r="N4" s="197">
        <v>43647</v>
      </c>
      <c r="O4" s="16">
        <v>45474</v>
      </c>
      <c r="P4" s="13">
        <v>1671809.15</v>
      </c>
      <c r="Q4" s="242" t="e">
        <v>#VALUE!</v>
      </c>
    </row>
    <row r="5" spans="1:17" x14ac:dyDescent="0.2">
      <c r="A5" s="4" t="s">
        <v>26</v>
      </c>
      <c r="B5" s="13">
        <v>1336273473.74</v>
      </c>
      <c r="C5" s="13">
        <v>1179206623.3599999</v>
      </c>
      <c r="D5" s="13">
        <v>157066850.38000011</v>
      </c>
      <c r="E5" s="13">
        <v>14735378.9</v>
      </c>
      <c r="F5" s="13">
        <v>29074134</v>
      </c>
      <c r="G5" s="14">
        <v>5.4</v>
      </c>
      <c r="H5" s="14">
        <v>0.51</v>
      </c>
      <c r="I5" s="13">
        <v>1227948.2416666667</v>
      </c>
      <c r="J5" s="15">
        <v>0</v>
      </c>
      <c r="K5" s="13">
        <v>157066850.38000011</v>
      </c>
      <c r="L5" s="13" t="s">
        <v>193</v>
      </c>
      <c r="M5" s="13" t="s">
        <v>193</v>
      </c>
      <c r="N5" s="197">
        <v>43831</v>
      </c>
      <c r="O5" s="16">
        <v>45292</v>
      </c>
      <c r="P5" s="13">
        <v>1522720.31</v>
      </c>
      <c r="Q5" s="242" t="e">
        <v>#VALUE!</v>
      </c>
    </row>
    <row r="6" spans="1:17" x14ac:dyDescent="0.2">
      <c r="A6" s="4" t="s">
        <v>35</v>
      </c>
      <c r="B6" s="13">
        <v>1469242870.97</v>
      </c>
      <c r="C6" s="13">
        <v>1292814268.3800001</v>
      </c>
      <c r="D6" s="13">
        <v>176428602.58999991</v>
      </c>
      <c r="E6" s="13">
        <v>26572836.870000001</v>
      </c>
      <c r="F6" s="13">
        <v>33073641</v>
      </c>
      <c r="G6" s="14">
        <v>5.33</v>
      </c>
      <c r="H6" s="14">
        <v>0.8</v>
      </c>
      <c r="I6" s="13">
        <v>2214403.0725000002</v>
      </c>
      <c r="J6" s="15">
        <v>6</v>
      </c>
      <c r="K6" s="13">
        <v>163142184.15499991</v>
      </c>
      <c r="L6" s="13">
        <v>18380220.098333318</v>
      </c>
      <c r="M6" s="13">
        <v>15624083.34833332</v>
      </c>
      <c r="N6" s="197">
        <v>43647</v>
      </c>
      <c r="O6" s="16">
        <v>45474</v>
      </c>
      <c r="P6" s="13">
        <v>315481.40999999997</v>
      </c>
      <c r="Q6" s="242" t="e">
        <v>#VALUE!</v>
      </c>
    </row>
    <row r="7" spans="1:17" x14ac:dyDescent="0.2">
      <c r="A7" s="4" t="s">
        <v>23</v>
      </c>
      <c r="B7" s="13">
        <v>1115197398.45</v>
      </c>
      <c r="C7" s="13">
        <v>981442839.35000002</v>
      </c>
      <c r="D7" s="13">
        <v>133754559.10000002</v>
      </c>
      <c r="E7" s="13">
        <v>11466930.960000001</v>
      </c>
      <c r="F7" s="13">
        <v>26165562</v>
      </c>
      <c r="G7" s="14">
        <v>5.1100000000000003</v>
      </c>
      <c r="H7" s="14">
        <v>0.44</v>
      </c>
      <c r="I7" s="13">
        <v>955577.58000000007</v>
      </c>
      <c r="J7" s="15">
        <v>6</v>
      </c>
      <c r="K7" s="13">
        <v>128021093.62000002</v>
      </c>
      <c r="L7" s="13">
        <v>13570572.516666671</v>
      </c>
      <c r="M7" s="13">
        <v>11390109.016666671</v>
      </c>
      <c r="N7" s="197">
        <v>43647</v>
      </c>
      <c r="O7" s="16">
        <v>45474</v>
      </c>
      <c r="P7" s="13">
        <v>268184.96999999997</v>
      </c>
      <c r="Q7" s="242" t="e">
        <v>#VALUE!</v>
      </c>
    </row>
    <row r="8" spans="1:17" x14ac:dyDescent="0.2">
      <c r="A8" s="4" t="s">
        <v>53</v>
      </c>
      <c r="B8" s="13">
        <v>203184695.25999999</v>
      </c>
      <c r="C8" s="13">
        <v>175823579.72</v>
      </c>
      <c r="D8" s="13">
        <v>27361115.539999992</v>
      </c>
      <c r="E8" s="13">
        <v>3709939.09</v>
      </c>
      <c r="F8" s="13">
        <v>5655134</v>
      </c>
      <c r="G8" s="14">
        <v>4.84</v>
      </c>
      <c r="H8" s="14">
        <v>0.66</v>
      </c>
      <c r="I8" s="13">
        <v>309161.59083333332</v>
      </c>
      <c r="J8" s="15">
        <v>6</v>
      </c>
      <c r="K8" s="13">
        <v>25506145.99499999</v>
      </c>
      <c r="L8" s="13">
        <v>2675141.2566666654</v>
      </c>
      <c r="M8" s="13">
        <v>2203880.0899999985</v>
      </c>
      <c r="N8" s="197">
        <v>43647</v>
      </c>
      <c r="O8" s="16">
        <v>45474</v>
      </c>
      <c r="P8" s="13">
        <v>0</v>
      </c>
      <c r="Q8" s="242" t="e">
        <v>#VALUE!</v>
      </c>
    </row>
    <row r="9" spans="1:17" x14ac:dyDescent="0.2">
      <c r="A9" s="4" t="s">
        <v>39</v>
      </c>
      <c r="B9" s="13">
        <v>265120500</v>
      </c>
      <c r="C9" s="13">
        <v>235802323.03</v>
      </c>
      <c r="D9" s="13">
        <v>29318176.969999999</v>
      </c>
      <c r="E9" s="13">
        <v>7056270.21</v>
      </c>
      <c r="F9" s="13">
        <v>6172506</v>
      </c>
      <c r="G9" s="14">
        <v>4.75</v>
      </c>
      <c r="H9" s="14">
        <v>1.1399999999999999</v>
      </c>
      <c r="I9" s="13">
        <v>588022.51749999996</v>
      </c>
      <c r="J9" s="15">
        <v>3</v>
      </c>
      <c r="K9" s="13">
        <v>27554109.4175</v>
      </c>
      <c r="L9" s="13">
        <v>5657721.6566666663</v>
      </c>
      <c r="M9" s="13">
        <v>4628970.6566666663</v>
      </c>
      <c r="N9" s="197">
        <v>43922</v>
      </c>
      <c r="O9" s="16">
        <v>45383</v>
      </c>
      <c r="P9" s="13">
        <v>1526828.95</v>
      </c>
      <c r="Q9" s="242" t="e">
        <v>#VALUE!</v>
      </c>
    </row>
    <row r="10" spans="1:17" x14ac:dyDescent="0.2">
      <c r="A10" s="4" t="s">
        <v>64</v>
      </c>
      <c r="B10" s="13">
        <v>120899760.39</v>
      </c>
      <c r="C10" s="13">
        <v>104306245.64</v>
      </c>
      <c r="D10" s="13">
        <v>16593514.75</v>
      </c>
      <c r="E10" s="13">
        <v>1742257.77</v>
      </c>
      <c r="F10" s="13">
        <v>3521015</v>
      </c>
      <c r="G10" s="14">
        <v>4.71</v>
      </c>
      <c r="H10" s="14">
        <v>0.49</v>
      </c>
      <c r="I10" s="13">
        <v>145188.14749999999</v>
      </c>
      <c r="J10" s="15">
        <v>0</v>
      </c>
      <c r="K10" s="13">
        <v>16593514.75</v>
      </c>
      <c r="L10" s="13" t="s">
        <v>193</v>
      </c>
      <c r="M10" s="13" t="s">
        <v>193</v>
      </c>
      <c r="N10" s="197">
        <v>43831</v>
      </c>
      <c r="O10" s="16">
        <v>45292</v>
      </c>
      <c r="P10" s="13">
        <v>140840.22</v>
      </c>
      <c r="Q10" s="242" t="e">
        <v>#VALUE!</v>
      </c>
    </row>
    <row r="11" spans="1:17" x14ac:dyDescent="0.2">
      <c r="A11" s="4" t="s">
        <v>36</v>
      </c>
      <c r="B11" s="13">
        <v>853256279</v>
      </c>
      <c r="C11" s="13">
        <v>768289005.50999999</v>
      </c>
      <c r="D11" s="13">
        <v>84967273.49000001</v>
      </c>
      <c r="E11" s="13">
        <v>15206880.970000001</v>
      </c>
      <c r="F11" s="13">
        <v>18836467</v>
      </c>
      <c r="G11" s="14">
        <v>4.51</v>
      </c>
      <c r="H11" s="14">
        <v>0.81</v>
      </c>
      <c r="I11" s="13">
        <v>1267240.0808333333</v>
      </c>
      <c r="J11" s="15">
        <v>9</v>
      </c>
      <c r="K11" s="13">
        <v>73562112.762500018</v>
      </c>
      <c r="L11" s="13">
        <v>5254926.6100000013</v>
      </c>
      <c r="M11" s="13">
        <v>4208456.2211111123</v>
      </c>
      <c r="N11" s="197">
        <v>43739</v>
      </c>
      <c r="O11" s="16">
        <v>45566</v>
      </c>
      <c r="P11" s="13">
        <v>969437.15</v>
      </c>
      <c r="Q11" s="242" t="e">
        <v>#VALUE!</v>
      </c>
    </row>
    <row r="12" spans="1:17" x14ac:dyDescent="0.2">
      <c r="A12" s="4" t="s">
        <v>44</v>
      </c>
      <c r="B12" s="13">
        <v>493558716</v>
      </c>
      <c r="C12" s="13">
        <v>443751468.38</v>
      </c>
      <c r="D12" s="13">
        <v>49807247.620000005</v>
      </c>
      <c r="E12" s="13">
        <v>7839250.8300000001</v>
      </c>
      <c r="F12" s="13">
        <v>11038481</v>
      </c>
      <c r="G12" s="14">
        <v>4.51</v>
      </c>
      <c r="H12" s="14">
        <v>0.71</v>
      </c>
      <c r="I12" s="13">
        <v>653270.90249999997</v>
      </c>
      <c r="J12" s="15">
        <v>0</v>
      </c>
      <c r="K12" s="13">
        <v>49807247.620000005</v>
      </c>
      <c r="L12" s="13" t="s">
        <v>193</v>
      </c>
      <c r="M12" s="13" t="s">
        <v>193</v>
      </c>
      <c r="N12" s="197">
        <v>43831</v>
      </c>
      <c r="O12" s="16">
        <v>45292</v>
      </c>
      <c r="P12" s="13">
        <v>575763.82999999996</v>
      </c>
      <c r="Q12" s="242" t="e">
        <v>#VALUE!</v>
      </c>
    </row>
    <row r="13" spans="1:17" x14ac:dyDescent="0.2">
      <c r="A13" s="4" t="s">
        <v>47</v>
      </c>
      <c r="B13" s="13">
        <v>187480557</v>
      </c>
      <c r="C13" s="13">
        <v>171790081.40000001</v>
      </c>
      <c r="D13" s="13">
        <v>15690475.599999994</v>
      </c>
      <c r="E13" s="13">
        <v>2325112.39</v>
      </c>
      <c r="F13" s="13">
        <v>3515583</v>
      </c>
      <c r="G13" s="14">
        <v>4.46</v>
      </c>
      <c r="H13" s="14">
        <v>0.66</v>
      </c>
      <c r="I13" s="13">
        <v>193759.36583333334</v>
      </c>
      <c r="J13" s="15">
        <v>6</v>
      </c>
      <c r="K13" s="13">
        <v>14527919.404999994</v>
      </c>
      <c r="L13" s="13">
        <v>1443218.2666666657</v>
      </c>
      <c r="M13" s="13">
        <v>1150253.0166666657</v>
      </c>
      <c r="N13" s="197">
        <v>43647</v>
      </c>
      <c r="O13" s="16">
        <v>45474</v>
      </c>
      <c r="P13" s="13">
        <v>290897.87</v>
      </c>
      <c r="Q13" s="242" t="e">
        <v>#VALUE!</v>
      </c>
    </row>
    <row r="14" spans="1:17" x14ac:dyDescent="0.2">
      <c r="A14" s="4" t="s">
        <v>52</v>
      </c>
      <c r="B14" s="13">
        <v>1945106991</v>
      </c>
      <c r="C14" s="13">
        <v>1847662716.8099999</v>
      </c>
      <c r="D14" s="13">
        <v>97444274.190000057</v>
      </c>
      <c r="E14" s="13">
        <v>22609317.190000001</v>
      </c>
      <c r="F14" s="13">
        <v>22131554</v>
      </c>
      <c r="G14" s="14">
        <v>4.4000000000000004</v>
      </c>
      <c r="H14" s="14">
        <v>1.02</v>
      </c>
      <c r="I14" s="13">
        <v>1884109.7658333334</v>
      </c>
      <c r="J14" s="15">
        <v>6</v>
      </c>
      <c r="K14" s="13">
        <v>86139615.595000058</v>
      </c>
      <c r="L14" s="13">
        <v>8863527.6983333435</v>
      </c>
      <c r="M14" s="13">
        <v>7019231.5316666765</v>
      </c>
      <c r="N14" s="197">
        <v>43647</v>
      </c>
      <c r="O14" s="16">
        <v>45474</v>
      </c>
      <c r="P14" s="13">
        <v>923250.9</v>
      </c>
      <c r="Q14" s="242" t="e">
        <v>#VALUE!</v>
      </c>
    </row>
    <row r="15" spans="1:17" x14ac:dyDescent="0.2">
      <c r="A15" s="4" t="s">
        <v>30</v>
      </c>
      <c r="B15" s="13">
        <v>1168142277.4400001</v>
      </c>
      <c r="C15" s="13">
        <v>1055513858.26</v>
      </c>
      <c r="D15" s="13">
        <v>112628419.18000007</v>
      </c>
      <c r="E15" s="13">
        <v>20113332.32</v>
      </c>
      <c r="F15" s="13">
        <v>26355588</v>
      </c>
      <c r="G15" s="14">
        <v>4.2699999999999996</v>
      </c>
      <c r="H15" s="14">
        <v>0.76</v>
      </c>
      <c r="I15" s="13">
        <v>1676111.0266666666</v>
      </c>
      <c r="J15" s="15">
        <v>6</v>
      </c>
      <c r="K15" s="13">
        <v>102571753.02000007</v>
      </c>
      <c r="L15" s="13">
        <v>9986207.1966666784</v>
      </c>
      <c r="M15" s="13">
        <v>7789908.1966666775</v>
      </c>
      <c r="N15" s="197">
        <v>43647</v>
      </c>
      <c r="O15" s="16">
        <v>45474</v>
      </c>
      <c r="P15" s="13">
        <v>1111626</v>
      </c>
      <c r="Q15" s="242" t="e">
        <v>#VALUE!</v>
      </c>
    </row>
    <row r="16" spans="1:17" x14ac:dyDescent="0.2">
      <c r="A16" s="4" t="s">
        <v>54</v>
      </c>
      <c r="B16" s="13">
        <v>1022430792.45</v>
      </c>
      <c r="C16" s="13">
        <v>939848407.86000001</v>
      </c>
      <c r="D16" s="13">
        <v>82582384.590000033</v>
      </c>
      <c r="E16" s="13">
        <v>25079972</v>
      </c>
      <c r="F16" s="13">
        <v>19809810</v>
      </c>
      <c r="G16" s="14">
        <v>4.17</v>
      </c>
      <c r="H16" s="14">
        <v>1.27</v>
      </c>
      <c r="I16" s="13">
        <v>2089997.6666666667</v>
      </c>
      <c r="J16" s="15">
        <v>3</v>
      </c>
      <c r="K16" s="13">
        <v>76312391.590000033</v>
      </c>
      <c r="L16" s="13">
        <v>14320921.530000011</v>
      </c>
      <c r="M16" s="13">
        <v>11019286.530000011</v>
      </c>
      <c r="N16" s="197">
        <v>43922</v>
      </c>
      <c r="O16" s="16">
        <v>45383</v>
      </c>
      <c r="P16" s="13">
        <v>2628309</v>
      </c>
      <c r="Q16" s="242" t="e">
        <v>#VALUE!</v>
      </c>
    </row>
    <row r="17" spans="1:17" x14ac:dyDescent="0.2">
      <c r="A17" s="4" t="s">
        <v>60</v>
      </c>
      <c r="B17" s="13">
        <v>794219275</v>
      </c>
      <c r="C17" s="13">
        <v>715410543.16999996</v>
      </c>
      <c r="D17" s="13">
        <v>78808731.830000043</v>
      </c>
      <c r="E17" s="13">
        <v>13849790.109999999</v>
      </c>
      <c r="F17" s="13">
        <v>19107637</v>
      </c>
      <c r="G17" s="14">
        <v>4.12</v>
      </c>
      <c r="H17" s="14">
        <v>0.72</v>
      </c>
      <c r="I17" s="13">
        <v>1154149.1758333333</v>
      </c>
      <c r="J17" s="15">
        <v>6</v>
      </c>
      <c r="K17" s="13">
        <v>71883836.775000036</v>
      </c>
      <c r="L17" s="13">
        <v>6765576.3050000072</v>
      </c>
      <c r="M17" s="13">
        <v>5173273.2216666741</v>
      </c>
      <c r="N17" s="197">
        <v>43647</v>
      </c>
      <c r="O17" s="16">
        <v>45474</v>
      </c>
      <c r="P17" s="13">
        <v>1273915.23</v>
      </c>
      <c r="Q17" s="242" t="e">
        <v>#VALUE!</v>
      </c>
    </row>
    <row r="18" spans="1:17" x14ac:dyDescent="0.2">
      <c r="A18" s="4" t="s">
        <v>40</v>
      </c>
      <c r="B18" s="13">
        <v>500565228.91000003</v>
      </c>
      <c r="C18" s="13">
        <v>459832384.37</v>
      </c>
      <c r="D18" s="13">
        <v>40732844.540000021</v>
      </c>
      <c r="E18" s="13">
        <v>9836438.8100000005</v>
      </c>
      <c r="F18" s="13">
        <v>10539100</v>
      </c>
      <c r="G18" s="14">
        <v>3.86</v>
      </c>
      <c r="H18" s="14">
        <v>0.93</v>
      </c>
      <c r="I18" s="13">
        <v>819703.23416666675</v>
      </c>
      <c r="J18" s="15">
        <v>6</v>
      </c>
      <c r="K18" s="13">
        <v>35814625.13500002</v>
      </c>
      <c r="L18" s="13">
        <v>3275774.0900000036</v>
      </c>
      <c r="M18" s="13">
        <v>2397515.7566666701</v>
      </c>
      <c r="N18" s="197">
        <v>43647</v>
      </c>
      <c r="O18" s="16">
        <v>45474</v>
      </c>
      <c r="P18" s="13">
        <v>824094.71</v>
      </c>
      <c r="Q18" s="242" t="e">
        <v>#VALUE!</v>
      </c>
    </row>
    <row r="19" spans="1:17" x14ac:dyDescent="0.2">
      <c r="A19" s="4" t="s">
        <v>16</v>
      </c>
      <c r="B19" s="13">
        <v>104394118</v>
      </c>
      <c r="C19" s="13">
        <v>94466109.590000004</v>
      </c>
      <c r="D19" s="13">
        <v>9928008.4099999964</v>
      </c>
      <c r="E19" s="13">
        <v>2166757.34</v>
      </c>
      <c r="F19" s="13">
        <v>2677355</v>
      </c>
      <c r="G19" s="14">
        <v>3.71</v>
      </c>
      <c r="H19" s="14">
        <v>0.81</v>
      </c>
      <c r="I19" s="13">
        <v>180563.11166666666</v>
      </c>
      <c r="J19" s="15">
        <v>6</v>
      </c>
      <c r="K19" s="13">
        <v>8844629.7399999965</v>
      </c>
      <c r="L19" s="13">
        <v>762216.40166666603</v>
      </c>
      <c r="M19" s="13">
        <v>539103.4849999994</v>
      </c>
      <c r="N19" s="197">
        <v>43647</v>
      </c>
      <c r="O19" s="16">
        <v>45474</v>
      </c>
      <c r="P19" s="13">
        <v>0</v>
      </c>
      <c r="Q19" s="242" t="e">
        <v>#VALUE!</v>
      </c>
    </row>
    <row r="20" spans="1:17" x14ac:dyDescent="0.2">
      <c r="A20" s="4" t="s">
        <v>51</v>
      </c>
      <c r="B20" s="13">
        <v>2001064841.29</v>
      </c>
      <c r="C20" s="13">
        <v>1858582064.5999999</v>
      </c>
      <c r="D20" s="13">
        <v>142482776.69000006</v>
      </c>
      <c r="E20" s="13">
        <v>40085227.670000002</v>
      </c>
      <c r="F20" s="13">
        <v>40779947</v>
      </c>
      <c r="G20" s="14">
        <v>3.49</v>
      </c>
      <c r="H20" s="14">
        <v>0.98</v>
      </c>
      <c r="I20" s="13">
        <v>3340435.6391666667</v>
      </c>
      <c r="J20" s="15">
        <v>0</v>
      </c>
      <c r="K20" s="13">
        <v>142482776.69000006</v>
      </c>
      <c r="L20" s="13" t="s">
        <v>193</v>
      </c>
      <c r="M20" s="13" t="s">
        <v>193</v>
      </c>
      <c r="N20" s="197">
        <v>43831</v>
      </c>
      <c r="O20" s="16">
        <v>45292</v>
      </c>
      <c r="P20" s="13">
        <v>5550082.3099999996</v>
      </c>
      <c r="Q20" s="242" t="e">
        <v>#VALUE!</v>
      </c>
    </row>
    <row r="21" spans="1:17" x14ac:dyDescent="0.2">
      <c r="A21" s="4" t="s">
        <v>45</v>
      </c>
      <c r="B21" s="13">
        <v>1228777673.53</v>
      </c>
      <c r="C21" s="13">
        <v>1064921533.89</v>
      </c>
      <c r="D21" s="13">
        <v>163856139.63999999</v>
      </c>
      <c r="E21" s="13">
        <v>61641271.649999999</v>
      </c>
      <c r="F21" s="13">
        <v>47456120</v>
      </c>
      <c r="G21" s="14">
        <v>3.45</v>
      </c>
      <c r="H21" s="14">
        <v>1.3</v>
      </c>
      <c r="I21" s="13">
        <v>5136772.6375000002</v>
      </c>
      <c r="J21" s="15">
        <v>0</v>
      </c>
      <c r="K21" s="13">
        <v>163856139.63999999</v>
      </c>
      <c r="L21" s="13" t="s">
        <v>193</v>
      </c>
      <c r="M21" s="13" t="s">
        <v>193</v>
      </c>
      <c r="N21" s="197">
        <v>43831</v>
      </c>
      <c r="O21" s="16">
        <v>45292</v>
      </c>
      <c r="P21" s="13">
        <v>3651010.67</v>
      </c>
      <c r="Q21" s="242" t="e">
        <v>#VALUE!</v>
      </c>
    </row>
    <row r="22" spans="1:17" x14ac:dyDescent="0.2">
      <c r="A22" s="4" t="s">
        <v>21</v>
      </c>
      <c r="B22" s="13">
        <v>528328839.02999997</v>
      </c>
      <c r="C22" s="13">
        <v>482143589.43000001</v>
      </c>
      <c r="D22" s="13">
        <v>46185249.599999964</v>
      </c>
      <c r="E22" s="13">
        <v>17506223.989999998</v>
      </c>
      <c r="F22" s="13">
        <v>13880022</v>
      </c>
      <c r="G22" s="14">
        <v>3.33</v>
      </c>
      <c r="H22" s="14">
        <v>1.26</v>
      </c>
      <c r="I22" s="13">
        <v>1458851.9991666665</v>
      </c>
      <c r="J22" s="15">
        <v>6</v>
      </c>
      <c r="K22" s="13">
        <v>37432137.604999967</v>
      </c>
      <c r="L22" s="13">
        <v>3070867.599999994</v>
      </c>
      <c r="M22" s="13">
        <v>1914199.099999994</v>
      </c>
      <c r="N22" s="197">
        <v>43647</v>
      </c>
      <c r="O22" s="16">
        <v>45474</v>
      </c>
      <c r="P22" s="13">
        <v>4090668.28</v>
      </c>
      <c r="Q22" s="242" t="e">
        <v>#VALUE!</v>
      </c>
    </row>
    <row r="23" spans="1:17" x14ac:dyDescent="0.2">
      <c r="A23" s="4" t="s">
        <v>18</v>
      </c>
      <c r="B23" s="13">
        <v>782983569.92999995</v>
      </c>
      <c r="C23" s="13">
        <v>723895813.10000002</v>
      </c>
      <c r="D23" s="13">
        <v>59087756.829999924</v>
      </c>
      <c r="E23" s="13">
        <v>15524085.41</v>
      </c>
      <c r="F23" s="13">
        <v>17807834</v>
      </c>
      <c r="G23" s="14">
        <v>3.32</v>
      </c>
      <c r="H23" s="14">
        <v>0.87</v>
      </c>
      <c r="I23" s="13">
        <v>1293673.7841666667</v>
      </c>
      <c r="J23" s="15">
        <v>6</v>
      </c>
      <c r="K23" s="13">
        <v>51325714.124999925</v>
      </c>
      <c r="L23" s="13">
        <v>3912014.8049999871</v>
      </c>
      <c r="M23" s="13">
        <v>2428028.6383333206</v>
      </c>
      <c r="N23" s="197">
        <v>43647</v>
      </c>
      <c r="O23" s="16">
        <v>45474</v>
      </c>
      <c r="P23" s="13">
        <v>1104958.69</v>
      </c>
      <c r="Q23" s="242" t="e">
        <v>#VALUE!</v>
      </c>
    </row>
    <row r="24" spans="1:17" x14ac:dyDescent="0.2">
      <c r="A24" s="4" t="s">
        <v>19</v>
      </c>
      <c r="B24" s="13">
        <v>1408362784.9100001</v>
      </c>
      <c r="C24" s="13">
        <v>1308130950.5799999</v>
      </c>
      <c r="D24" s="13">
        <v>100231834.33000016</v>
      </c>
      <c r="E24" s="13">
        <v>19858329.82</v>
      </c>
      <c r="F24" s="13">
        <v>31050303</v>
      </c>
      <c r="G24" s="14">
        <v>3.23</v>
      </c>
      <c r="H24" s="14">
        <v>0.64</v>
      </c>
      <c r="I24" s="13">
        <v>1654860.8183333334</v>
      </c>
      <c r="J24" s="15">
        <v>6</v>
      </c>
      <c r="K24" s="13">
        <v>90302669.420000166</v>
      </c>
      <c r="L24" s="13">
        <v>6355204.7216666937</v>
      </c>
      <c r="M24" s="13">
        <v>3767679.4716666937</v>
      </c>
      <c r="N24" s="197">
        <v>43647</v>
      </c>
      <c r="O24" s="16">
        <v>45474</v>
      </c>
      <c r="P24" s="13">
        <v>1345576.99</v>
      </c>
      <c r="Q24" s="242" t="e">
        <v>#VALUE!</v>
      </c>
    </row>
    <row r="25" spans="1:17" x14ac:dyDescent="0.2">
      <c r="A25" s="4" t="s">
        <v>43</v>
      </c>
      <c r="B25" s="13">
        <v>293820746.33999997</v>
      </c>
      <c r="C25" s="13">
        <v>272645929.01999998</v>
      </c>
      <c r="D25" s="13">
        <v>21174817.319999993</v>
      </c>
      <c r="E25" s="13">
        <v>7114763.5</v>
      </c>
      <c r="F25" s="13">
        <v>6746804</v>
      </c>
      <c r="G25" s="14">
        <v>3.14</v>
      </c>
      <c r="H25" s="14">
        <v>1.05</v>
      </c>
      <c r="I25" s="13">
        <v>592896.95833333337</v>
      </c>
      <c r="J25" s="15">
        <v>6</v>
      </c>
      <c r="K25" s="13">
        <v>17617435.569999993</v>
      </c>
      <c r="L25" s="13">
        <v>1280201.5533333321</v>
      </c>
      <c r="M25" s="13">
        <v>717967.88666666544</v>
      </c>
      <c r="N25" s="197">
        <v>43647</v>
      </c>
      <c r="O25" s="16">
        <v>45474</v>
      </c>
      <c r="P25" s="13">
        <v>504921.75</v>
      </c>
      <c r="Q25" s="242" t="e">
        <v>#VALUE!</v>
      </c>
    </row>
    <row r="26" spans="1:17" x14ac:dyDescent="0.2">
      <c r="A26" s="4" t="s">
        <v>56</v>
      </c>
      <c r="B26" s="13">
        <v>1154905413</v>
      </c>
      <c r="C26" s="13">
        <v>1069674678.5700001</v>
      </c>
      <c r="D26" s="13">
        <v>85230734.429999948</v>
      </c>
      <c r="E26" s="13">
        <v>26351037.629999999</v>
      </c>
      <c r="F26" s="13">
        <v>27571438</v>
      </c>
      <c r="G26" s="14">
        <v>3.09</v>
      </c>
      <c r="H26" s="14">
        <v>0.96</v>
      </c>
      <c r="I26" s="13">
        <v>2195919.8024999998</v>
      </c>
      <c r="J26" s="15">
        <v>6</v>
      </c>
      <c r="K26" s="13">
        <v>72055215.61499995</v>
      </c>
      <c r="L26" s="13">
        <v>5014643.0716666579</v>
      </c>
      <c r="M26" s="13">
        <v>2717023.2383333244</v>
      </c>
      <c r="N26" s="197">
        <v>43647</v>
      </c>
      <c r="O26" s="16">
        <v>45474</v>
      </c>
      <c r="P26" s="13">
        <v>3578198.53</v>
      </c>
      <c r="Q26" s="242" t="e">
        <v>#VALUE!</v>
      </c>
    </row>
    <row r="27" spans="1:17" x14ac:dyDescent="0.2">
      <c r="A27" s="4" t="s">
        <v>57</v>
      </c>
      <c r="B27" s="13">
        <v>2879313105.54</v>
      </c>
      <c r="C27" s="13">
        <v>2667628905.0100002</v>
      </c>
      <c r="D27" s="13">
        <v>211684200.52999973</v>
      </c>
      <c r="E27" s="13">
        <v>73796205.530000001</v>
      </c>
      <c r="F27" s="13">
        <v>70613641</v>
      </c>
      <c r="G27" s="14">
        <v>3</v>
      </c>
      <c r="H27" s="14">
        <v>1.05</v>
      </c>
      <c r="I27" s="13">
        <v>6149683.7941666665</v>
      </c>
      <c r="J27" s="15">
        <v>8</v>
      </c>
      <c r="K27" s="13">
        <v>162486730.17666641</v>
      </c>
      <c r="L27" s="13">
        <v>8807114.8162499666</v>
      </c>
      <c r="M27" s="13" t="s">
        <v>192</v>
      </c>
      <c r="N27" s="197">
        <v>44075</v>
      </c>
      <c r="O27" s="16">
        <v>45536</v>
      </c>
      <c r="P27" s="13">
        <v>7908969.0899999999</v>
      </c>
      <c r="Q27" s="242" t="e">
        <v>#VALUE!</v>
      </c>
    </row>
    <row r="28" spans="1:17" x14ac:dyDescent="0.2">
      <c r="A28" s="4" t="s">
        <v>34</v>
      </c>
      <c r="B28" s="13">
        <v>1394382977.99</v>
      </c>
      <c r="C28" s="13">
        <v>1291760765.45</v>
      </c>
      <c r="D28" s="13">
        <v>102622212.53999996</v>
      </c>
      <c r="E28" s="13">
        <v>29992021.52</v>
      </c>
      <c r="F28" s="13">
        <v>34869850</v>
      </c>
      <c r="G28" s="14">
        <v>2.94</v>
      </c>
      <c r="H28" s="14">
        <v>0.86</v>
      </c>
      <c r="I28" s="13">
        <v>2499335.1266666665</v>
      </c>
      <c r="J28" s="15">
        <v>3</v>
      </c>
      <c r="K28" s="13">
        <v>95124207.159999967</v>
      </c>
      <c r="L28" s="13">
        <v>10960837.513333321</v>
      </c>
      <c r="M28" s="13">
        <v>5149195.8466666536</v>
      </c>
      <c r="N28" s="197">
        <v>43922</v>
      </c>
      <c r="O28" s="16">
        <v>45383</v>
      </c>
      <c r="P28" s="13">
        <v>3189681.67</v>
      </c>
      <c r="Q28" s="242" t="e">
        <v>#VALUE!</v>
      </c>
    </row>
    <row r="29" spans="1:17" x14ac:dyDescent="0.2">
      <c r="A29" s="4" t="s">
        <v>61</v>
      </c>
      <c r="B29" s="13">
        <v>522049097</v>
      </c>
      <c r="C29" s="13">
        <v>483579695.44999999</v>
      </c>
      <c r="D29" s="13">
        <v>38469401.550000012</v>
      </c>
      <c r="E29" s="13">
        <v>15386184.439999999</v>
      </c>
      <c r="F29" s="13">
        <v>13105608</v>
      </c>
      <c r="G29" s="14">
        <v>2.94</v>
      </c>
      <c r="H29" s="14">
        <v>1.17</v>
      </c>
      <c r="I29" s="13">
        <v>1282182.0366666666</v>
      </c>
      <c r="J29" s="15">
        <v>6</v>
      </c>
      <c r="K29" s="13">
        <v>30776309.330000013</v>
      </c>
      <c r="L29" s="13">
        <v>2043030.9250000019</v>
      </c>
      <c r="M29" s="13" t="s">
        <v>192</v>
      </c>
      <c r="N29" s="197">
        <v>43647</v>
      </c>
      <c r="O29" s="16">
        <v>45474</v>
      </c>
      <c r="P29" s="13">
        <v>1519058.2</v>
      </c>
      <c r="Q29" s="242" t="e">
        <v>#VALUE!</v>
      </c>
    </row>
    <row r="30" spans="1:17" x14ac:dyDescent="0.2">
      <c r="A30" s="4" t="s">
        <v>50</v>
      </c>
      <c r="B30" s="13">
        <v>545409679.30999994</v>
      </c>
      <c r="C30" s="13">
        <v>512073224.31</v>
      </c>
      <c r="D30" s="13">
        <v>33336454.99999994</v>
      </c>
      <c r="E30" s="13">
        <v>17320142.829999998</v>
      </c>
      <c r="F30" s="13">
        <v>11656242</v>
      </c>
      <c r="G30" s="14">
        <v>2.86</v>
      </c>
      <c r="H30" s="14">
        <v>1.49</v>
      </c>
      <c r="I30" s="13">
        <v>1443345.2358333331</v>
      </c>
      <c r="J30" s="15">
        <v>0</v>
      </c>
      <c r="K30" s="13">
        <v>33336454.99999994</v>
      </c>
      <c r="L30" s="13" t="s">
        <v>193</v>
      </c>
      <c r="M30" s="13" t="s">
        <v>193</v>
      </c>
      <c r="N30" s="197">
        <v>43831</v>
      </c>
      <c r="O30" s="16">
        <v>45292</v>
      </c>
      <c r="P30" s="13">
        <v>2067344</v>
      </c>
      <c r="Q30" s="242" t="e">
        <v>#VALUE!</v>
      </c>
    </row>
    <row r="31" spans="1:17" x14ac:dyDescent="0.2">
      <c r="A31" s="4" t="s">
        <v>20</v>
      </c>
      <c r="B31" s="13">
        <v>383328400.93000001</v>
      </c>
      <c r="C31" s="13">
        <v>356660912.81999999</v>
      </c>
      <c r="D31" s="13">
        <v>26667488.110000014</v>
      </c>
      <c r="E31" s="13">
        <v>10134196.050000001</v>
      </c>
      <c r="F31" s="13">
        <v>9345978</v>
      </c>
      <c r="G31" s="14">
        <v>2.85</v>
      </c>
      <c r="H31" s="14">
        <v>1.08</v>
      </c>
      <c r="I31" s="13">
        <v>844516.33750000002</v>
      </c>
      <c r="J31" s="15">
        <v>3</v>
      </c>
      <c r="K31" s="13">
        <v>24133939.097500015</v>
      </c>
      <c r="L31" s="13">
        <v>2658510.7033333383</v>
      </c>
      <c r="M31" s="13">
        <v>1100847.703333338</v>
      </c>
      <c r="N31" s="197">
        <v>43556</v>
      </c>
      <c r="O31" s="16">
        <v>45383</v>
      </c>
      <c r="P31" s="13">
        <v>3501246.65</v>
      </c>
      <c r="Q31" s="242" t="e">
        <v>#VALUE!</v>
      </c>
    </row>
    <row r="32" spans="1:17" x14ac:dyDescent="0.2">
      <c r="A32" s="4" t="s">
        <v>42</v>
      </c>
      <c r="B32" s="13">
        <v>346058940</v>
      </c>
      <c r="C32" s="13">
        <v>319532075.25999999</v>
      </c>
      <c r="D32" s="13">
        <v>26526864.74000001</v>
      </c>
      <c r="E32" s="13">
        <v>5654529.9400000004</v>
      </c>
      <c r="F32" s="13">
        <v>9353201</v>
      </c>
      <c r="G32" s="14">
        <v>2.84</v>
      </c>
      <c r="H32" s="14">
        <v>0.6</v>
      </c>
      <c r="I32" s="13">
        <v>471210.82833333337</v>
      </c>
      <c r="J32" s="15">
        <v>0</v>
      </c>
      <c r="K32" s="13">
        <v>26526864.74000001</v>
      </c>
      <c r="L32" s="13" t="s">
        <v>193</v>
      </c>
      <c r="M32" s="13" t="s">
        <v>193</v>
      </c>
      <c r="N32" s="197">
        <v>43831</v>
      </c>
      <c r="O32" s="16">
        <v>45292</v>
      </c>
      <c r="P32" s="13">
        <v>447684.14</v>
      </c>
      <c r="Q32" s="242" t="e">
        <v>#VALUE!</v>
      </c>
    </row>
    <row r="33" spans="1:17" x14ac:dyDescent="0.2">
      <c r="A33" s="4" t="s">
        <v>31</v>
      </c>
      <c r="B33" s="13">
        <v>1205115490</v>
      </c>
      <c r="C33" s="13">
        <v>1141604181.98</v>
      </c>
      <c r="D33" s="13">
        <v>63511308.019999981</v>
      </c>
      <c r="E33" s="13">
        <v>23645626.050000001</v>
      </c>
      <c r="F33" s="13">
        <v>22499042</v>
      </c>
      <c r="G33" s="14">
        <v>2.82</v>
      </c>
      <c r="H33" s="14">
        <v>1.05</v>
      </c>
      <c r="I33" s="13">
        <v>1970468.8375000001</v>
      </c>
      <c r="J33" s="15">
        <v>3</v>
      </c>
      <c r="K33" s="13">
        <v>57599901.507499978</v>
      </c>
      <c r="L33" s="13">
        <v>6171074.6733333273</v>
      </c>
      <c r="M33" s="13">
        <v>2421234.3399999938</v>
      </c>
      <c r="N33" s="197">
        <v>43922</v>
      </c>
      <c r="O33" s="16">
        <v>45383</v>
      </c>
      <c r="P33" s="13">
        <v>1877755.19</v>
      </c>
      <c r="Q33" s="242" t="e">
        <v>#VALUE!</v>
      </c>
    </row>
    <row r="34" spans="1:17" x14ac:dyDescent="0.2">
      <c r="A34" s="4" t="s">
        <v>38</v>
      </c>
      <c r="B34" s="13">
        <v>987264872</v>
      </c>
      <c r="C34" s="13">
        <v>921804949.25</v>
      </c>
      <c r="D34" s="13">
        <v>65459922.75</v>
      </c>
      <c r="E34" s="13">
        <v>34448266.549999997</v>
      </c>
      <c r="F34" s="13">
        <v>23383549</v>
      </c>
      <c r="G34" s="14">
        <v>2.8</v>
      </c>
      <c r="H34" s="14">
        <v>1.47</v>
      </c>
      <c r="I34" s="13">
        <v>2870688.8791666664</v>
      </c>
      <c r="J34" s="15">
        <v>3</v>
      </c>
      <c r="K34" s="13">
        <v>56847856.112499997</v>
      </c>
      <c r="L34" s="13">
        <v>6230941.583333333</v>
      </c>
      <c r="M34" s="13" t="s">
        <v>192</v>
      </c>
      <c r="N34" s="197">
        <v>43922</v>
      </c>
      <c r="O34" s="16">
        <v>45383</v>
      </c>
      <c r="P34" s="13">
        <v>3053271.74</v>
      </c>
      <c r="Q34" s="242" t="e">
        <v>#VALUE!</v>
      </c>
    </row>
    <row r="35" spans="1:17" x14ac:dyDescent="0.2">
      <c r="A35" s="4" t="s">
        <v>55</v>
      </c>
      <c r="B35" s="13">
        <v>248558577</v>
      </c>
      <c r="C35" s="13">
        <v>232365006.27000001</v>
      </c>
      <c r="D35" s="13">
        <v>16193570.729999989</v>
      </c>
      <c r="E35" s="13">
        <v>6077557.4299999997</v>
      </c>
      <c r="F35" s="13">
        <v>5790145</v>
      </c>
      <c r="G35" s="14">
        <v>2.8</v>
      </c>
      <c r="H35" s="14">
        <v>1.05</v>
      </c>
      <c r="I35" s="13">
        <v>506463.11916666664</v>
      </c>
      <c r="J35" s="15">
        <v>0</v>
      </c>
      <c r="K35" s="13">
        <v>16193570.729999989</v>
      </c>
      <c r="L35" s="13" t="s">
        <v>193</v>
      </c>
      <c r="M35" s="13" t="s">
        <v>193</v>
      </c>
      <c r="N35" s="197">
        <v>43831</v>
      </c>
      <c r="O35" s="16">
        <v>45292</v>
      </c>
      <c r="P35" s="13">
        <v>0</v>
      </c>
      <c r="Q35" s="242" t="e">
        <v>#VALUE!</v>
      </c>
    </row>
    <row r="36" spans="1:17" x14ac:dyDescent="0.2">
      <c r="A36" s="4" t="s">
        <v>25</v>
      </c>
      <c r="B36" s="13">
        <v>342887810.45999998</v>
      </c>
      <c r="C36" s="13">
        <v>319901344.11000001</v>
      </c>
      <c r="D36" s="13">
        <v>22986466.349999964</v>
      </c>
      <c r="E36" s="13">
        <v>9630258.3900000006</v>
      </c>
      <c r="F36" s="13">
        <v>8236180</v>
      </c>
      <c r="G36" s="14">
        <v>2.79</v>
      </c>
      <c r="H36" s="14">
        <v>1.17</v>
      </c>
      <c r="I36" s="13">
        <v>802521.53250000009</v>
      </c>
      <c r="J36" s="15">
        <v>3</v>
      </c>
      <c r="K36" s="13">
        <v>20578901.752499964</v>
      </c>
      <c r="L36" s="13">
        <v>2171368.7833333216</v>
      </c>
      <c r="M36" s="13" t="s">
        <v>192</v>
      </c>
      <c r="N36" s="197">
        <v>43556</v>
      </c>
      <c r="O36" s="16">
        <v>45383</v>
      </c>
      <c r="P36" s="13">
        <v>855881.43</v>
      </c>
      <c r="Q36" s="242" t="e">
        <v>#VALUE!</v>
      </c>
    </row>
    <row r="37" spans="1:17" x14ac:dyDescent="0.2">
      <c r="A37" s="4" t="s">
        <v>27</v>
      </c>
      <c r="B37" s="13">
        <v>1309738768.5599999</v>
      </c>
      <c r="C37" s="13">
        <v>1227266462.9300001</v>
      </c>
      <c r="D37" s="13">
        <v>82472305.629999876</v>
      </c>
      <c r="E37" s="13">
        <v>26222076.260000002</v>
      </c>
      <c r="F37" s="13">
        <v>30738746</v>
      </c>
      <c r="G37" s="14">
        <v>2.68</v>
      </c>
      <c r="H37" s="14">
        <v>0.85</v>
      </c>
      <c r="I37" s="13">
        <v>2185173.021666667</v>
      </c>
      <c r="J37" s="15">
        <v>6</v>
      </c>
      <c r="K37" s="13">
        <v>69361267.499999881</v>
      </c>
      <c r="L37" s="13">
        <v>3499135.6049999795</v>
      </c>
      <c r="M37" s="13" t="s">
        <v>192</v>
      </c>
      <c r="N37" s="197">
        <v>43647</v>
      </c>
      <c r="O37" s="16">
        <v>45474</v>
      </c>
      <c r="P37" s="13">
        <v>1424006.12</v>
      </c>
      <c r="Q37" s="242" t="e">
        <v>#VALUE!</v>
      </c>
    </row>
    <row r="38" spans="1:17" x14ac:dyDescent="0.2">
      <c r="A38" s="4" t="s">
        <v>33</v>
      </c>
      <c r="B38" s="13">
        <v>306076596.48000002</v>
      </c>
      <c r="C38" s="13">
        <v>285238071.81</v>
      </c>
      <c r="D38" s="13">
        <v>20838524.670000017</v>
      </c>
      <c r="E38" s="13">
        <v>7999661.8899999997</v>
      </c>
      <c r="F38" s="13">
        <v>8165077</v>
      </c>
      <c r="G38" s="14">
        <v>2.5499999999999998</v>
      </c>
      <c r="H38" s="14">
        <v>0.98</v>
      </c>
      <c r="I38" s="13">
        <v>666638.49083333334</v>
      </c>
      <c r="J38" s="15">
        <v>6</v>
      </c>
      <c r="K38" s="13">
        <v>16838693.725000016</v>
      </c>
      <c r="L38" s="13">
        <v>751395.11166666949</v>
      </c>
      <c r="M38" s="13" t="s">
        <v>192</v>
      </c>
      <c r="N38" s="197">
        <v>43647</v>
      </c>
      <c r="O38" s="16">
        <v>45474</v>
      </c>
      <c r="P38" s="13">
        <v>55552.88</v>
      </c>
      <c r="Q38" s="242" t="e">
        <v>#VALUE!</v>
      </c>
    </row>
    <row r="39" spans="1:17" x14ac:dyDescent="0.2">
      <c r="A39" s="4" t="s">
        <v>49</v>
      </c>
      <c r="B39" s="13">
        <v>685388676.61000001</v>
      </c>
      <c r="C39" s="13">
        <v>650868255.87</v>
      </c>
      <c r="D39" s="13">
        <v>34520420.74000001</v>
      </c>
      <c r="E39" s="13">
        <v>14922373.699999999</v>
      </c>
      <c r="F39" s="13">
        <v>13963452</v>
      </c>
      <c r="G39" s="14">
        <v>2.4700000000000002</v>
      </c>
      <c r="H39" s="14">
        <v>1.07</v>
      </c>
      <c r="I39" s="13">
        <v>1243531.1416666666</v>
      </c>
      <c r="J39" s="15">
        <v>3</v>
      </c>
      <c r="K39" s="13">
        <v>30789827.315000009</v>
      </c>
      <c r="L39" s="13">
        <v>2197838.9133333364</v>
      </c>
      <c r="M39" s="13" t="s">
        <v>192</v>
      </c>
      <c r="N39" s="197">
        <v>43922</v>
      </c>
      <c r="O39" s="16">
        <v>45383</v>
      </c>
      <c r="P39" s="13">
        <v>3818722.55</v>
      </c>
      <c r="Q39" s="242" t="e">
        <v>#VALUE!</v>
      </c>
    </row>
    <row r="40" spans="1:17" x14ac:dyDescent="0.2">
      <c r="A40" s="4" t="s">
        <v>48</v>
      </c>
      <c r="B40" s="13">
        <v>1940110596.77</v>
      </c>
      <c r="C40" s="13">
        <v>1832675605.4300001</v>
      </c>
      <c r="D40" s="13">
        <v>107434991.33999991</v>
      </c>
      <c r="E40" s="13">
        <v>44255455.920000002</v>
      </c>
      <c r="F40" s="13">
        <v>45492764</v>
      </c>
      <c r="G40" s="14">
        <v>2.36</v>
      </c>
      <c r="H40" s="14">
        <v>0.97</v>
      </c>
      <c r="I40" s="13">
        <v>3687954.66</v>
      </c>
      <c r="J40" s="15">
        <v>6</v>
      </c>
      <c r="K40" s="13">
        <v>85307263.379999906</v>
      </c>
      <c r="L40" s="13" t="s">
        <v>192</v>
      </c>
      <c r="M40" s="13" t="s">
        <v>192</v>
      </c>
      <c r="N40" s="197">
        <v>43647</v>
      </c>
      <c r="O40" s="16">
        <v>45474</v>
      </c>
      <c r="P40" s="13">
        <v>3670687.37</v>
      </c>
      <c r="Q40" s="242" t="e">
        <v>#VALUE!</v>
      </c>
    </row>
    <row r="41" spans="1:17" x14ac:dyDescent="0.2">
      <c r="A41" s="4" t="s">
        <v>28</v>
      </c>
      <c r="B41" s="13">
        <v>1035563531</v>
      </c>
      <c r="C41" s="13">
        <v>977714304.63</v>
      </c>
      <c r="D41" s="13">
        <v>57849226.370000005</v>
      </c>
      <c r="E41" s="13">
        <v>17671581.100000001</v>
      </c>
      <c r="F41" s="13">
        <v>24645105</v>
      </c>
      <c r="G41" s="14">
        <v>2.35</v>
      </c>
      <c r="H41" s="14">
        <v>0.72</v>
      </c>
      <c r="I41" s="13">
        <v>1472631.7583333335</v>
      </c>
      <c r="J41" s="15">
        <v>0</v>
      </c>
      <c r="K41" s="13">
        <v>57849226.370000005</v>
      </c>
      <c r="L41" s="13" t="s">
        <v>193</v>
      </c>
      <c r="M41" s="13" t="s">
        <v>192</v>
      </c>
      <c r="N41" s="197">
        <v>43831</v>
      </c>
      <c r="O41" s="16">
        <v>45292</v>
      </c>
      <c r="P41" s="13">
        <v>895741.09</v>
      </c>
      <c r="Q41" s="242" t="e">
        <v>#VALUE!</v>
      </c>
    </row>
    <row r="42" spans="1:17" x14ac:dyDescent="0.2">
      <c r="A42" s="4" t="s">
        <v>32</v>
      </c>
      <c r="B42" s="13">
        <v>497245980</v>
      </c>
      <c r="C42" s="13">
        <v>469975227.76999998</v>
      </c>
      <c r="D42" s="13">
        <v>27270752.230000019</v>
      </c>
      <c r="E42" s="13">
        <v>11175543.970000001</v>
      </c>
      <c r="F42" s="13">
        <v>11808636</v>
      </c>
      <c r="G42" s="14">
        <v>2.31</v>
      </c>
      <c r="H42" s="14">
        <v>0.95</v>
      </c>
      <c r="I42" s="13">
        <v>931295.33083333343</v>
      </c>
      <c r="J42" s="15">
        <v>0</v>
      </c>
      <c r="K42" s="13">
        <v>27270752.230000019</v>
      </c>
      <c r="L42" s="13" t="s">
        <v>193</v>
      </c>
      <c r="M42" s="13" t="s">
        <v>192</v>
      </c>
      <c r="N42" s="197">
        <v>43831</v>
      </c>
      <c r="O42" s="16">
        <v>45292</v>
      </c>
      <c r="P42" s="13">
        <v>507241.2</v>
      </c>
      <c r="Q42" s="242" t="e">
        <v>#VALUE!</v>
      </c>
    </row>
    <row r="43" spans="1:17" x14ac:dyDescent="0.2">
      <c r="A43" s="4" t="s">
        <v>37</v>
      </c>
      <c r="B43" s="13">
        <v>1215383392.1700001</v>
      </c>
      <c r="C43" s="13">
        <v>1159422093.6800001</v>
      </c>
      <c r="D43" s="13">
        <v>55961298.49000001</v>
      </c>
      <c r="E43" s="13">
        <v>18576524.100000001</v>
      </c>
      <c r="F43" s="13">
        <v>24335266</v>
      </c>
      <c r="G43" s="14">
        <v>2.2999999999999998</v>
      </c>
      <c r="H43" s="14">
        <v>0.76</v>
      </c>
      <c r="I43" s="13">
        <v>1548043.675</v>
      </c>
      <c r="J43" s="15">
        <v>6</v>
      </c>
      <c r="K43" s="13">
        <v>46673036.440000013</v>
      </c>
      <c r="L43" s="13" t="s">
        <v>192</v>
      </c>
      <c r="M43" s="13" t="s">
        <v>192</v>
      </c>
      <c r="N43" s="197">
        <v>43647</v>
      </c>
      <c r="O43" s="16">
        <v>45474</v>
      </c>
      <c r="P43" s="13">
        <v>1879948.86</v>
      </c>
      <c r="Q43" s="242" t="e">
        <v>#VALUE!</v>
      </c>
    </row>
    <row r="44" spans="1:17" x14ac:dyDescent="0.2">
      <c r="A44" s="4" t="s">
        <v>63</v>
      </c>
      <c r="B44" s="13">
        <v>1082941284</v>
      </c>
      <c r="C44" s="13">
        <v>1020491327.88</v>
      </c>
      <c r="D44" s="13">
        <v>62449956.120000005</v>
      </c>
      <c r="E44" s="13">
        <v>32372206.949999999</v>
      </c>
      <c r="F44" s="13">
        <v>27168342</v>
      </c>
      <c r="G44" s="14">
        <v>2.2999999999999998</v>
      </c>
      <c r="H44" s="14">
        <v>1.19</v>
      </c>
      <c r="I44" s="13">
        <v>2697683.9125000001</v>
      </c>
      <c r="J44" s="15">
        <v>3</v>
      </c>
      <c r="K44" s="13">
        <v>54356904.382500008</v>
      </c>
      <c r="L44" s="13">
        <v>2704424.0400000014</v>
      </c>
      <c r="M44" s="13" t="s">
        <v>192</v>
      </c>
      <c r="N44" s="197">
        <v>43922</v>
      </c>
      <c r="O44" s="16">
        <v>45383</v>
      </c>
      <c r="P44" s="13">
        <v>3889532.19</v>
      </c>
      <c r="Q44" s="242" t="e">
        <v>#VALUE!</v>
      </c>
    </row>
    <row r="45" spans="1:17" x14ac:dyDescent="0.2">
      <c r="A45" s="4" t="s">
        <v>24</v>
      </c>
      <c r="B45" s="13">
        <v>1601312682.0699999</v>
      </c>
      <c r="C45" s="13">
        <v>1506560653</v>
      </c>
      <c r="D45" s="13">
        <v>94752029.069999933</v>
      </c>
      <c r="E45" s="13">
        <v>37988596.630000003</v>
      </c>
      <c r="F45" s="13">
        <v>41389514</v>
      </c>
      <c r="G45" s="14">
        <v>2.29</v>
      </c>
      <c r="H45" s="14">
        <v>0.92</v>
      </c>
      <c r="I45" s="13">
        <v>3165716.3858333337</v>
      </c>
      <c r="J45" s="15">
        <v>6</v>
      </c>
      <c r="K45" s="13">
        <v>75757730.754999936</v>
      </c>
      <c r="L45" s="13" t="s">
        <v>192</v>
      </c>
      <c r="M45" s="13" t="s">
        <v>192</v>
      </c>
      <c r="N45" s="197">
        <v>43647</v>
      </c>
      <c r="O45" s="16">
        <v>45474</v>
      </c>
      <c r="P45" s="13">
        <v>1840872.81</v>
      </c>
      <c r="Q45" s="242" t="e">
        <v>#VALUE!</v>
      </c>
    </row>
    <row r="46" spans="1:17" x14ac:dyDescent="0.2">
      <c r="A46" s="4" t="s">
        <v>29</v>
      </c>
      <c r="B46" s="13">
        <v>660266370</v>
      </c>
      <c r="C46" s="13">
        <v>628718117.55999994</v>
      </c>
      <c r="D46" s="13">
        <v>31548252.440000057</v>
      </c>
      <c r="E46" s="13">
        <v>11371686.43</v>
      </c>
      <c r="F46" s="13">
        <v>14821600</v>
      </c>
      <c r="G46" s="14">
        <v>2.13</v>
      </c>
      <c r="H46" s="14">
        <v>0.77</v>
      </c>
      <c r="I46" s="13">
        <v>947640.53583333327</v>
      </c>
      <c r="J46" s="15">
        <v>0</v>
      </c>
      <c r="K46" s="13">
        <v>31548252.440000057</v>
      </c>
      <c r="L46" s="13" t="s">
        <v>193</v>
      </c>
      <c r="M46" s="13" t="s">
        <v>192</v>
      </c>
      <c r="N46" s="197">
        <v>43466</v>
      </c>
      <c r="O46" s="16">
        <v>45292</v>
      </c>
      <c r="P46" s="13">
        <v>719162.62</v>
      </c>
      <c r="Q46" s="242" t="e">
        <v>#VALUE!</v>
      </c>
    </row>
    <row r="47" spans="1:17" x14ac:dyDescent="0.2">
      <c r="A47" s="4" t="s">
        <v>58</v>
      </c>
      <c r="B47" s="13">
        <v>238203233</v>
      </c>
      <c r="C47" s="13">
        <v>226765018.78</v>
      </c>
      <c r="D47" s="13">
        <v>11438214.219999999</v>
      </c>
      <c r="E47" s="13">
        <v>5589616.0199999996</v>
      </c>
      <c r="F47" s="13">
        <v>5501208</v>
      </c>
      <c r="G47" s="14">
        <v>2.08</v>
      </c>
      <c r="H47" s="14">
        <v>1.02</v>
      </c>
      <c r="I47" s="13">
        <v>465801.33499999996</v>
      </c>
      <c r="J47" s="15">
        <v>6</v>
      </c>
      <c r="K47" s="13">
        <v>8643406.209999999</v>
      </c>
      <c r="L47" s="13" t="s">
        <v>192</v>
      </c>
      <c r="M47" s="13" t="s">
        <v>192</v>
      </c>
      <c r="N47" s="197">
        <v>43647</v>
      </c>
      <c r="O47" s="16">
        <v>45474</v>
      </c>
      <c r="P47" s="13">
        <v>317220.89</v>
      </c>
      <c r="Q47" s="242" t="e">
        <v>#VALUE!</v>
      </c>
    </row>
    <row r="48" spans="1:17" x14ac:dyDescent="0.2">
      <c r="A48" s="4" t="s">
        <v>15</v>
      </c>
      <c r="B48" s="13">
        <v>1062416247.5</v>
      </c>
      <c r="C48" s="13">
        <v>1020058880.74</v>
      </c>
      <c r="D48" s="13">
        <v>42357366.75999999</v>
      </c>
      <c r="E48" s="13">
        <v>23160194.219999999</v>
      </c>
      <c r="F48" s="13">
        <v>23271036</v>
      </c>
      <c r="G48" s="14">
        <v>1.82</v>
      </c>
      <c r="H48" s="14">
        <v>1</v>
      </c>
      <c r="I48" s="13">
        <v>1930016.1849999998</v>
      </c>
      <c r="J48" s="15">
        <v>3</v>
      </c>
      <c r="K48" s="13">
        <v>36567318.204999991</v>
      </c>
      <c r="L48" s="13" t="s">
        <v>192</v>
      </c>
      <c r="M48" s="13" t="s">
        <v>192</v>
      </c>
      <c r="N48" s="197">
        <v>43556</v>
      </c>
      <c r="O48" s="16">
        <v>45383</v>
      </c>
      <c r="P48" s="13">
        <v>2991842.17</v>
      </c>
      <c r="Q48" s="242" t="e">
        <v>#VALUE!</v>
      </c>
    </row>
    <row r="49" spans="1:17" x14ac:dyDescent="0.2">
      <c r="A49" s="4" t="s">
        <v>59</v>
      </c>
      <c r="B49" s="13">
        <v>270139589</v>
      </c>
      <c r="C49" s="13">
        <v>257069212.09</v>
      </c>
      <c r="D49" s="13">
        <v>13070376.909999996</v>
      </c>
      <c r="E49" s="13">
        <v>7279574.0700000003</v>
      </c>
      <c r="F49" s="13">
        <v>7334647</v>
      </c>
      <c r="G49" s="14">
        <v>1.78</v>
      </c>
      <c r="H49" s="14">
        <v>0.99</v>
      </c>
      <c r="I49" s="13">
        <v>606631.17249999999</v>
      </c>
      <c r="J49" s="15">
        <v>6</v>
      </c>
      <c r="K49" s="13">
        <v>9430589.8749999963</v>
      </c>
      <c r="L49" s="13" t="s">
        <v>192</v>
      </c>
      <c r="M49" s="13" t="s">
        <v>192</v>
      </c>
      <c r="N49" s="197">
        <v>43647</v>
      </c>
      <c r="O49" s="16">
        <v>45474</v>
      </c>
      <c r="P49" s="13">
        <v>1022075.61</v>
      </c>
      <c r="Q49" s="242" t="e">
        <v>#VALUE!</v>
      </c>
    </row>
    <row r="50" spans="1:17" x14ac:dyDescent="0.2">
      <c r="A50" s="4" t="s">
        <v>41</v>
      </c>
      <c r="B50" s="13">
        <v>95802497</v>
      </c>
      <c r="C50" s="13">
        <v>91268021.930000007</v>
      </c>
      <c r="D50" s="13">
        <v>4534475.0699999928</v>
      </c>
      <c r="E50" s="13">
        <v>4463726.41</v>
      </c>
      <c r="F50" s="13">
        <v>2895399</v>
      </c>
      <c r="G50" s="14">
        <v>1.57</v>
      </c>
      <c r="H50" s="14">
        <v>1.54</v>
      </c>
      <c r="I50" s="13">
        <v>371977.20083333337</v>
      </c>
      <c r="J50" s="15">
        <v>6</v>
      </c>
      <c r="K50" s="13">
        <v>2302611.8649999928</v>
      </c>
      <c r="L50" s="13" t="s">
        <v>192</v>
      </c>
      <c r="M50" s="13" t="s">
        <v>192</v>
      </c>
      <c r="N50" s="197">
        <v>43647</v>
      </c>
      <c r="O50" s="16">
        <v>45474</v>
      </c>
      <c r="P50" s="13">
        <v>1451353.03</v>
      </c>
      <c r="Q50" s="242" t="e">
        <v>#VALUE!</v>
      </c>
    </row>
    <row r="51" spans="1:17" x14ac:dyDescent="0.2">
      <c r="A51" s="4" t="s">
        <v>17</v>
      </c>
      <c r="B51" s="13">
        <v>379033306</v>
      </c>
      <c r="C51" s="13">
        <v>365422487.64999998</v>
      </c>
      <c r="D51" s="13">
        <v>13610818.350000024</v>
      </c>
      <c r="E51" s="13">
        <v>9752448.6600000001</v>
      </c>
      <c r="F51" s="13">
        <v>9905563</v>
      </c>
      <c r="G51" s="14">
        <v>1.37</v>
      </c>
      <c r="H51" s="14">
        <v>0.98</v>
      </c>
      <c r="I51" s="13">
        <v>812704.05500000005</v>
      </c>
      <c r="J51" s="15">
        <v>6</v>
      </c>
      <c r="K51" s="13">
        <v>8734594.0200000238</v>
      </c>
      <c r="L51" s="13" t="s">
        <v>192</v>
      </c>
      <c r="M51" s="13" t="s">
        <v>192</v>
      </c>
      <c r="N51" s="197">
        <v>43647</v>
      </c>
      <c r="O51" s="16">
        <v>45474</v>
      </c>
      <c r="P51" s="13">
        <v>891307.92</v>
      </c>
      <c r="Q51" s="242" t="e">
        <v>#VALUE!</v>
      </c>
    </row>
    <row r="52" spans="1:17" x14ac:dyDescent="0.2">
      <c r="A52" s="4" t="s">
        <v>22</v>
      </c>
      <c r="B52" s="13">
        <v>72717998</v>
      </c>
      <c r="C52" s="13">
        <v>71117770.939999998</v>
      </c>
      <c r="D52" s="18">
        <v>1600227.0600000024</v>
      </c>
      <c r="E52" s="13">
        <v>2465326.2400000002</v>
      </c>
      <c r="F52" s="13">
        <v>2684959</v>
      </c>
      <c r="G52" s="14">
        <v>0.6</v>
      </c>
      <c r="H52" s="14">
        <v>0.92</v>
      </c>
      <c r="I52" s="18">
        <v>205443.85333333336</v>
      </c>
      <c r="J52" s="15">
        <v>6</v>
      </c>
      <c r="K52" s="18">
        <v>367563.94000000227</v>
      </c>
      <c r="L52" s="18" t="s">
        <v>192</v>
      </c>
      <c r="M52" s="18" t="s">
        <v>192</v>
      </c>
      <c r="N52" s="198">
        <v>43647</v>
      </c>
      <c r="O52" s="16">
        <v>45474</v>
      </c>
      <c r="P52" s="13">
        <v>138414.73000000001</v>
      </c>
      <c r="Q52" s="242" t="e">
        <v>#VALUE!</v>
      </c>
    </row>
    <row r="53" spans="1:17" x14ac:dyDescent="0.25">
      <c r="A53" s="36" t="s">
        <v>65</v>
      </c>
      <c r="B53" s="33">
        <v>42781318773.709999</v>
      </c>
      <c r="C53" s="13">
        <v>39439232569.449997</v>
      </c>
      <c r="D53" s="33">
        <v>3342086204.2600021</v>
      </c>
      <c r="E53" s="13">
        <v>918387908.51999998</v>
      </c>
      <c r="F53" s="13">
        <v>986046835</v>
      </c>
      <c r="G53" s="14">
        <v>3.39</v>
      </c>
      <c r="H53" s="14">
        <v>0.93</v>
      </c>
      <c r="I53" s="33">
        <v>76532325.709999993</v>
      </c>
      <c r="J53" s="34"/>
      <c r="K53" s="35"/>
      <c r="L53" s="35"/>
      <c r="M53" s="35"/>
      <c r="N53" s="35"/>
      <c r="O53" s="35"/>
      <c r="P53" s="33">
        <v>85029933.640000001</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36</v>
      </c>
      <c r="H56" s="25"/>
    </row>
    <row r="57" spans="1:17" ht="27" customHeight="1" thickBot="1" x14ac:dyDescent="0.3">
      <c r="D57" s="248" t="s">
        <v>67</v>
      </c>
      <c r="E57" s="249"/>
      <c r="F57" s="249"/>
      <c r="G57" s="27"/>
      <c r="H57" s="28">
        <v>31</v>
      </c>
    </row>
  </sheetData>
  <mergeCells count="2">
    <mergeCell ref="D56:F56"/>
    <mergeCell ref="D57:F57"/>
  </mergeCells>
  <conditionalFormatting sqref="G54">
    <cfRule type="cellIs" dxfId="419" priority="13" stopIfTrue="1" operator="greaterThan">
      <formula>2.5</formula>
    </cfRule>
    <cfRule type="cellIs" dxfId="418" priority="14" stopIfTrue="1" operator="between">
      <formula>2.01</formula>
      <formula>2.5</formula>
    </cfRule>
  </conditionalFormatting>
  <conditionalFormatting sqref="H3:H53">
    <cfRule type="cellIs" dxfId="417" priority="12" stopIfTrue="1" operator="lessThan">
      <formula>1</formula>
    </cfRule>
  </conditionalFormatting>
  <conditionalFormatting sqref="G3:G53">
    <cfRule type="cellIs" dxfId="416" priority="10" stopIfTrue="1" operator="greaterThan">
      <formula>2.5</formula>
    </cfRule>
    <cfRule type="cellIs" dxfId="415" priority="11" stopIfTrue="1" operator="between">
      <formula>2.01</formula>
      <formula>2.5</formula>
    </cfRule>
  </conditionalFormatting>
  <conditionalFormatting sqref="K3:K52">
    <cfRule type="cellIs" dxfId="414" priority="8" stopIfTrue="1" operator="greaterThan">
      <formula>$F3*2.5</formula>
    </cfRule>
    <cfRule type="cellIs" dxfId="413" priority="9" stopIfTrue="1" operator="between">
      <formula>$F3*2</formula>
      <formula>$F3*2.5</formula>
    </cfRule>
  </conditionalFormatting>
  <conditionalFormatting sqref="G54">
    <cfRule type="cellIs" dxfId="412" priority="6" stopIfTrue="1" operator="greaterThan">
      <formula>2.5</formula>
    </cfRule>
    <cfRule type="cellIs" dxfId="411" priority="7" stopIfTrue="1" operator="between">
      <formula>2.01</formula>
      <formula>2.5</formula>
    </cfRule>
  </conditionalFormatting>
  <conditionalFormatting sqref="H3:H53">
    <cfRule type="cellIs" dxfId="410" priority="5" stopIfTrue="1" operator="lessThan">
      <formula>1</formula>
    </cfRule>
  </conditionalFormatting>
  <conditionalFormatting sqref="G3:G53">
    <cfRule type="cellIs" dxfId="409" priority="3" stopIfTrue="1" operator="greaterThan">
      <formula>2.5</formula>
    </cfRule>
    <cfRule type="cellIs" dxfId="408" priority="4" stopIfTrue="1" operator="between">
      <formula>2.01</formula>
      <formula>2.5</formula>
    </cfRule>
  </conditionalFormatting>
  <conditionalFormatting sqref="K3:K52">
    <cfRule type="cellIs" dxfId="407" priority="1" stopIfTrue="1" operator="greaterThan">
      <formula>$F3*2.5</formula>
    </cfRule>
    <cfRule type="cellIs" dxfId="406"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082A9-BAED-4DE9-BEF1-ECE697C45D34}">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P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2.81640625" style="17" hidden="1" customWidth="1"/>
    <col min="18" max="16384" width="9.1796875" style="17"/>
  </cols>
  <sheetData>
    <row r="1" spans="1:17" s="8" customFormat="1" ht="18" x14ac:dyDescent="0.25">
      <c r="A1" s="4" t="s">
        <v>264</v>
      </c>
      <c r="B1" s="196" t="s">
        <v>265</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46</v>
      </c>
      <c r="B3" s="13">
        <v>1788595890.3599999</v>
      </c>
      <c r="C3" s="13">
        <v>1527592853.6700001</v>
      </c>
      <c r="D3" s="13">
        <v>261003036.68999982</v>
      </c>
      <c r="E3" s="13">
        <v>32489873.879999999</v>
      </c>
      <c r="F3" s="13">
        <v>46272979</v>
      </c>
      <c r="G3" s="14">
        <v>5.64</v>
      </c>
      <c r="H3" s="14">
        <v>0.7</v>
      </c>
      <c r="I3" s="13">
        <v>2707489.4899999998</v>
      </c>
      <c r="J3" s="15">
        <v>-1</v>
      </c>
      <c r="K3" s="13" t="s">
        <v>193</v>
      </c>
      <c r="L3" s="13" t="s">
        <v>193</v>
      </c>
      <c r="M3" s="13" t="s">
        <v>193</v>
      </c>
      <c r="N3" s="197">
        <v>43831</v>
      </c>
      <c r="O3" s="16">
        <v>45292</v>
      </c>
      <c r="P3" s="13">
        <v>2283189.2200000002</v>
      </c>
      <c r="Q3" s="243" t="e">
        <v>#VALUE!</v>
      </c>
    </row>
    <row r="4" spans="1:17" x14ac:dyDescent="0.2">
      <c r="A4" s="4" t="s">
        <v>62</v>
      </c>
      <c r="B4" s="13">
        <v>708696383.32000005</v>
      </c>
      <c r="C4" s="13">
        <v>630751944.94000006</v>
      </c>
      <c r="D4" s="13">
        <v>77944438.379999995</v>
      </c>
      <c r="E4" s="13">
        <v>11886993.640000001</v>
      </c>
      <c r="F4" s="13">
        <v>13833071</v>
      </c>
      <c r="G4" s="14">
        <v>5.63</v>
      </c>
      <c r="H4" s="14">
        <v>0.86</v>
      </c>
      <c r="I4" s="13">
        <v>990582.80333333334</v>
      </c>
      <c r="J4" s="15">
        <v>5</v>
      </c>
      <c r="K4" s="13">
        <v>72991524.36333333</v>
      </c>
      <c r="L4" s="13">
        <v>10055659.275999999</v>
      </c>
      <c r="M4" s="13">
        <v>8672352.175999999</v>
      </c>
      <c r="N4" s="197">
        <v>43647</v>
      </c>
      <c r="O4" s="16">
        <v>45474</v>
      </c>
      <c r="P4" s="13">
        <v>326626.56</v>
      </c>
      <c r="Q4" s="242" t="e">
        <v>#VALUE!</v>
      </c>
    </row>
    <row r="5" spans="1:17" x14ac:dyDescent="0.2">
      <c r="A5" s="4" t="s">
        <v>26</v>
      </c>
      <c r="B5" s="13">
        <v>1336273473.74</v>
      </c>
      <c r="C5" s="13">
        <v>1181208176.3199999</v>
      </c>
      <c r="D5" s="13">
        <v>155065297.42000008</v>
      </c>
      <c r="E5" s="13">
        <v>15932480.07</v>
      </c>
      <c r="F5" s="13">
        <v>29074134</v>
      </c>
      <c r="G5" s="14">
        <v>5.33</v>
      </c>
      <c r="H5" s="14">
        <v>0.55000000000000004</v>
      </c>
      <c r="I5" s="13">
        <v>1327706.6725000001</v>
      </c>
      <c r="J5" s="15">
        <v>-1</v>
      </c>
      <c r="K5" s="13" t="s">
        <v>193</v>
      </c>
      <c r="L5" s="13" t="s">
        <v>193</v>
      </c>
      <c r="M5" s="13" t="s">
        <v>193</v>
      </c>
      <c r="N5" s="197">
        <v>43831</v>
      </c>
      <c r="O5" s="16">
        <v>45292</v>
      </c>
      <c r="P5" s="13">
        <v>2001552.96</v>
      </c>
      <c r="Q5" s="242" t="e">
        <v>#VALUE!</v>
      </c>
    </row>
    <row r="6" spans="1:17" x14ac:dyDescent="0.2">
      <c r="A6" s="4" t="s">
        <v>35</v>
      </c>
      <c r="B6" s="13">
        <v>1469242870.97</v>
      </c>
      <c r="C6" s="13">
        <v>1292814268.3800001</v>
      </c>
      <c r="D6" s="13">
        <v>176428602.58999991</v>
      </c>
      <c r="E6" s="13">
        <v>25581179.109999999</v>
      </c>
      <c r="F6" s="13">
        <v>33073641</v>
      </c>
      <c r="G6" s="14">
        <v>5.33</v>
      </c>
      <c r="H6" s="14">
        <v>0.77</v>
      </c>
      <c r="I6" s="13">
        <v>2131764.9258333333</v>
      </c>
      <c r="J6" s="15">
        <v>5</v>
      </c>
      <c r="K6" s="13">
        <v>165769777.96083325</v>
      </c>
      <c r="L6" s="13">
        <v>22056264.117999982</v>
      </c>
      <c r="M6" s="13">
        <v>18748900.017999984</v>
      </c>
      <c r="N6" s="197">
        <v>43647</v>
      </c>
      <c r="O6" s="16">
        <v>45474</v>
      </c>
      <c r="P6" s="13">
        <v>0</v>
      </c>
      <c r="Q6" s="242" t="e">
        <v>#VALUE!</v>
      </c>
    </row>
    <row r="7" spans="1:17" x14ac:dyDescent="0.2">
      <c r="A7" s="4" t="s">
        <v>23</v>
      </c>
      <c r="B7" s="13">
        <v>1115197398.45</v>
      </c>
      <c r="C7" s="13">
        <v>981956969.95000005</v>
      </c>
      <c r="D7" s="13">
        <v>133240428.5</v>
      </c>
      <c r="E7" s="13">
        <v>11640638.189999999</v>
      </c>
      <c r="F7" s="13">
        <v>26165562</v>
      </c>
      <c r="G7" s="14">
        <v>5.09</v>
      </c>
      <c r="H7" s="14">
        <v>0.44</v>
      </c>
      <c r="I7" s="13">
        <v>970053.1825</v>
      </c>
      <c r="J7" s="15">
        <v>5</v>
      </c>
      <c r="K7" s="13">
        <v>128390162.58750001</v>
      </c>
      <c r="L7" s="13">
        <v>16181860.9</v>
      </c>
      <c r="M7" s="13">
        <v>13565304.699999999</v>
      </c>
      <c r="N7" s="197">
        <v>43647</v>
      </c>
      <c r="O7" s="16">
        <v>45474</v>
      </c>
      <c r="P7" s="13">
        <v>514130.6</v>
      </c>
      <c r="Q7" s="242" t="e">
        <v>#VALUE!</v>
      </c>
    </row>
    <row r="8" spans="1:17" x14ac:dyDescent="0.2">
      <c r="A8" s="4" t="s">
        <v>53</v>
      </c>
      <c r="B8" s="13">
        <v>203184695.25999999</v>
      </c>
      <c r="C8" s="13">
        <v>175830429.72</v>
      </c>
      <c r="D8" s="13">
        <v>27354265.539999992</v>
      </c>
      <c r="E8" s="13">
        <v>3549033.68</v>
      </c>
      <c r="F8" s="13">
        <v>5655134</v>
      </c>
      <c r="G8" s="14">
        <v>4.84</v>
      </c>
      <c r="H8" s="14">
        <v>0.63</v>
      </c>
      <c r="I8" s="13">
        <v>295752.8066666667</v>
      </c>
      <c r="J8" s="15">
        <v>5</v>
      </c>
      <c r="K8" s="13">
        <v>25875501.506666657</v>
      </c>
      <c r="L8" s="13">
        <v>3208799.5079999985</v>
      </c>
      <c r="M8" s="13">
        <v>2643286.1079999981</v>
      </c>
      <c r="N8" s="197">
        <v>43647</v>
      </c>
      <c r="O8" s="16">
        <v>45474</v>
      </c>
      <c r="P8" s="13">
        <v>6850</v>
      </c>
      <c r="Q8" s="242" t="e">
        <v>#VALUE!</v>
      </c>
    </row>
    <row r="9" spans="1:17" x14ac:dyDescent="0.2">
      <c r="A9" s="4" t="s">
        <v>64</v>
      </c>
      <c r="B9" s="13">
        <v>120899760.39</v>
      </c>
      <c r="C9" s="13">
        <v>104324473.55</v>
      </c>
      <c r="D9" s="13">
        <v>16575286.840000004</v>
      </c>
      <c r="E9" s="13">
        <v>1714342.8</v>
      </c>
      <c r="F9" s="13">
        <v>3521015</v>
      </c>
      <c r="G9" s="14">
        <v>4.71</v>
      </c>
      <c r="H9" s="14">
        <v>0.49</v>
      </c>
      <c r="I9" s="13">
        <v>142861.9</v>
      </c>
      <c r="J9" s="15">
        <v>-1</v>
      </c>
      <c r="K9" s="13" t="s">
        <v>193</v>
      </c>
      <c r="L9" s="13" t="s">
        <v>193</v>
      </c>
      <c r="M9" s="13" t="s">
        <v>193</v>
      </c>
      <c r="N9" s="197">
        <v>43831</v>
      </c>
      <c r="O9" s="16">
        <v>45292</v>
      </c>
      <c r="P9" s="13">
        <v>18227.91</v>
      </c>
      <c r="Q9" s="242" t="e">
        <v>#VALUE!</v>
      </c>
    </row>
    <row r="10" spans="1:17" x14ac:dyDescent="0.2">
      <c r="A10" s="4" t="s">
        <v>39</v>
      </c>
      <c r="B10" s="13">
        <v>265120500</v>
      </c>
      <c r="C10" s="13">
        <v>236810389.44999999</v>
      </c>
      <c r="D10" s="13">
        <v>28310110.550000012</v>
      </c>
      <c r="E10" s="13">
        <v>7683445.0499999998</v>
      </c>
      <c r="F10" s="13">
        <v>6172506</v>
      </c>
      <c r="G10" s="14">
        <v>4.59</v>
      </c>
      <c r="H10" s="14">
        <v>1.24</v>
      </c>
      <c r="I10" s="13">
        <v>640287.08750000002</v>
      </c>
      <c r="J10" s="15">
        <v>2</v>
      </c>
      <c r="K10" s="13">
        <v>27029536.375000011</v>
      </c>
      <c r="L10" s="13">
        <v>7982549.275000006</v>
      </c>
      <c r="M10" s="13">
        <v>6439422.775000006</v>
      </c>
      <c r="N10" s="197">
        <v>43922</v>
      </c>
      <c r="O10" s="16">
        <v>45383</v>
      </c>
      <c r="P10" s="13">
        <v>1008066.42</v>
      </c>
      <c r="Q10" s="242" t="e">
        <v>#VALUE!</v>
      </c>
    </row>
    <row r="11" spans="1:17" x14ac:dyDescent="0.2">
      <c r="A11" s="4" t="s">
        <v>44</v>
      </c>
      <c r="B11" s="13">
        <v>493558716</v>
      </c>
      <c r="C11" s="13">
        <v>443751468.38</v>
      </c>
      <c r="D11" s="13">
        <v>49807247.620000005</v>
      </c>
      <c r="E11" s="13">
        <v>7067870.9299999997</v>
      </c>
      <c r="F11" s="13">
        <v>11038481</v>
      </c>
      <c r="G11" s="14">
        <v>4.51</v>
      </c>
      <c r="H11" s="14">
        <v>0.64</v>
      </c>
      <c r="I11" s="13">
        <v>588989.24416666664</v>
      </c>
      <c r="J11" s="15">
        <v>-1</v>
      </c>
      <c r="K11" s="13" t="s">
        <v>193</v>
      </c>
      <c r="L11" s="13" t="s">
        <v>193</v>
      </c>
      <c r="M11" s="13" t="s">
        <v>193</v>
      </c>
      <c r="N11" s="197">
        <v>43831</v>
      </c>
      <c r="O11" s="16">
        <v>45292</v>
      </c>
      <c r="P11" s="13">
        <v>0</v>
      </c>
      <c r="Q11" s="242" t="e">
        <v>#VALUE!</v>
      </c>
    </row>
    <row r="12" spans="1:17" x14ac:dyDescent="0.2">
      <c r="A12" s="4" t="s">
        <v>47</v>
      </c>
      <c r="B12" s="13">
        <v>187480557</v>
      </c>
      <c r="C12" s="13">
        <v>171790081.40000001</v>
      </c>
      <c r="D12" s="13">
        <v>15690475.599999994</v>
      </c>
      <c r="E12" s="13">
        <v>2593395.4500000002</v>
      </c>
      <c r="F12" s="13">
        <v>3515583</v>
      </c>
      <c r="G12" s="14">
        <v>4.46</v>
      </c>
      <c r="H12" s="14">
        <v>0.74</v>
      </c>
      <c r="I12" s="13">
        <v>216116.28750000001</v>
      </c>
      <c r="J12" s="15">
        <v>5</v>
      </c>
      <c r="K12" s="13">
        <v>14609894.162499994</v>
      </c>
      <c r="L12" s="13">
        <v>1731861.9199999988</v>
      </c>
      <c r="M12" s="13">
        <v>1380303.6199999987</v>
      </c>
      <c r="N12" s="197">
        <v>43647</v>
      </c>
      <c r="O12" s="16">
        <v>45474</v>
      </c>
      <c r="P12" s="13">
        <v>0</v>
      </c>
      <c r="Q12" s="242" t="e">
        <v>#VALUE!</v>
      </c>
    </row>
    <row r="13" spans="1:17" x14ac:dyDescent="0.2">
      <c r="A13" s="4" t="s">
        <v>52</v>
      </c>
      <c r="B13" s="13">
        <v>1945106991</v>
      </c>
      <c r="C13" s="13">
        <v>1849230098</v>
      </c>
      <c r="D13" s="13">
        <v>95876893</v>
      </c>
      <c r="E13" s="13">
        <v>21667467.559999999</v>
      </c>
      <c r="F13" s="13">
        <v>22131554</v>
      </c>
      <c r="G13" s="14">
        <v>4.33</v>
      </c>
      <c r="H13" s="14">
        <v>0.98</v>
      </c>
      <c r="I13" s="13">
        <v>1805622.2966666666</v>
      </c>
      <c r="J13" s="15">
        <v>5</v>
      </c>
      <c r="K13" s="13">
        <v>86848781.516666666</v>
      </c>
      <c r="L13" s="13">
        <v>10322757</v>
      </c>
      <c r="M13" s="13">
        <v>8109601.5999999996</v>
      </c>
      <c r="N13" s="197">
        <v>43647</v>
      </c>
      <c r="O13" s="16">
        <v>45474</v>
      </c>
      <c r="P13" s="13">
        <v>1567381.19</v>
      </c>
      <c r="Q13" s="242" t="e">
        <v>#VALUE!</v>
      </c>
    </row>
    <row r="14" spans="1:17" x14ac:dyDescent="0.2">
      <c r="A14" s="4" t="s">
        <v>36</v>
      </c>
      <c r="B14" s="13">
        <v>853256279</v>
      </c>
      <c r="C14" s="13">
        <v>772086328.33000004</v>
      </c>
      <c r="D14" s="13">
        <v>81169950.669999957</v>
      </c>
      <c r="E14" s="13">
        <v>18022464.850000001</v>
      </c>
      <c r="F14" s="13">
        <v>18836467</v>
      </c>
      <c r="G14" s="14">
        <v>4.3099999999999996</v>
      </c>
      <c r="H14" s="14">
        <v>0.96</v>
      </c>
      <c r="I14" s="13">
        <v>1501872.0708333335</v>
      </c>
      <c r="J14" s="15">
        <v>8</v>
      </c>
      <c r="K14" s="13">
        <v>69154974.103333294</v>
      </c>
      <c r="L14" s="13">
        <v>5437127.0837499946</v>
      </c>
      <c r="M14" s="13">
        <v>4259847.8962499946</v>
      </c>
      <c r="N14" s="197">
        <v>43739</v>
      </c>
      <c r="O14" s="16">
        <v>45566</v>
      </c>
      <c r="P14" s="13">
        <v>3797322.82</v>
      </c>
      <c r="Q14" s="242" t="e">
        <v>#VALUE!</v>
      </c>
    </row>
    <row r="15" spans="1:17" x14ac:dyDescent="0.2">
      <c r="A15" s="4" t="s">
        <v>19</v>
      </c>
      <c r="B15" s="13">
        <v>1438428739.9100001</v>
      </c>
      <c r="C15" s="13">
        <v>1310018262.29</v>
      </c>
      <c r="D15" s="13">
        <v>128410477.62000012</v>
      </c>
      <c r="E15" s="13">
        <v>19145367.300000001</v>
      </c>
      <c r="F15" s="13">
        <v>30065955</v>
      </c>
      <c r="G15" s="14">
        <v>4.2699999999999996</v>
      </c>
      <c r="H15" s="14">
        <v>0.64</v>
      </c>
      <c r="I15" s="13">
        <v>1595447.2750000001</v>
      </c>
      <c r="J15" s="15">
        <v>5</v>
      </c>
      <c r="K15" s="13">
        <v>120433241.24500012</v>
      </c>
      <c r="L15" s="13">
        <v>13655713.524000024</v>
      </c>
      <c r="M15" s="13">
        <v>10649118.024000024</v>
      </c>
      <c r="N15" s="197">
        <v>43647</v>
      </c>
      <c r="O15" s="16">
        <v>45474</v>
      </c>
      <c r="P15" s="13">
        <v>1887311.71</v>
      </c>
      <c r="Q15" s="242" t="e">
        <v>#VALUE!</v>
      </c>
    </row>
    <row r="16" spans="1:17" x14ac:dyDescent="0.2">
      <c r="A16" s="4" t="s">
        <v>30</v>
      </c>
      <c r="B16" s="13">
        <v>1168142277.4400001</v>
      </c>
      <c r="C16" s="13">
        <v>1057545233.26</v>
      </c>
      <c r="D16" s="13">
        <v>110597044.18000007</v>
      </c>
      <c r="E16" s="13">
        <v>21486113.32</v>
      </c>
      <c r="F16" s="13">
        <v>26355588</v>
      </c>
      <c r="G16" s="14">
        <v>4.2</v>
      </c>
      <c r="H16" s="14">
        <v>0.82</v>
      </c>
      <c r="I16" s="13">
        <v>1790509.4433333334</v>
      </c>
      <c r="J16" s="15">
        <v>5</v>
      </c>
      <c r="K16" s="13">
        <v>101644496.9633334</v>
      </c>
      <c r="L16" s="13">
        <v>11577173.636000013</v>
      </c>
      <c r="M16" s="13">
        <v>8941614.8360000141</v>
      </c>
      <c r="N16" s="197">
        <v>43647</v>
      </c>
      <c r="O16" s="16">
        <v>45474</v>
      </c>
      <c r="P16" s="13">
        <v>2031375</v>
      </c>
      <c r="Q16" s="242" t="e">
        <v>#VALUE!</v>
      </c>
    </row>
    <row r="17" spans="1:17" x14ac:dyDescent="0.2">
      <c r="A17" s="4" t="s">
        <v>43</v>
      </c>
      <c r="B17" s="13">
        <v>300551063.33999997</v>
      </c>
      <c r="C17" s="13">
        <v>272917867.12</v>
      </c>
      <c r="D17" s="13">
        <v>27633196.219999969</v>
      </c>
      <c r="E17" s="13">
        <v>7327715.0499999998</v>
      </c>
      <c r="F17" s="13">
        <v>6730317</v>
      </c>
      <c r="G17" s="14">
        <v>4.1100000000000003</v>
      </c>
      <c r="H17" s="14">
        <v>1.0900000000000001</v>
      </c>
      <c r="I17" s="13">
        <v>610642.92083333328</v>
      </c>
      <c r="J17" s="15">
        <v>5</v>
      </c>
      <c r="K17" s="13">
        <v>24579981.615833301</v>
      </c>
      <c r="L17" s="13">
        <v>2834512.4439999936</v>
      </c>
      <c r="M17" s="13">
        <v>2161480.7439999939</v>
      </c>
      <c r="N17" s="197">
        <v>43647</v>
      </c>
      <c r="O17" s="16">
        <v>45474</v>
      </c>
      <c r="P17" s="13">
        <v>271938.09999999998</v>
      </c>
      <c r="Q17" s="242" t="e">
        <v>#VALUE!</v>
      </c>
    </row>
    <row r="18" spans="1:17" x14ac:dyDescent="0.2">
      <c r="A18" s="4" t="s">
        <v>54</v>
      </c>
      <c r="B18" s="13">
        <v>1022430792.45</v>
      </c>
      <c r="C18" s="13">
        <v>941273663.86000001</v>
      </c>
      <c r="D18" s="13">
        <v>81157128.590000033</v>
      </c>
      <c r="E18" s="13">
        <v>25447127</v>
      </c>
      <c r="F18" s="13">
        <v>19809810</v>
      </c>
      <c r="G18" s="14">
        <v>4.0999999999999996</v>
      </c>
      <c r="H18" s="14">
        <v>1.28</v>
      </c>
      <c r="I18" s="13">
        <v>2120593.9166666665</v>
      </c>
      <c r="J18" s="15">
        <v>2</v>
      </c>
      <c r="K18" s="13">
        <v>76915940.756666705</v>
      </c>
      <c r="L18" s="13">
        <v>20768754.295000017</v>
      </c>
      <c r="M18" s="13">
        <v>15816301.795000017</v>
      </c>
      <c r="N18" s="197">
        <v>43922</v>
      </c>
      <c r="O18" s="16">
        <v>45383</v>
      </c>
      <c r="P18" s="13">
        <v>1425256</v>
      </c>
      <c r="Q18" s="242" t="e">
        <v>#VALUE!</v>
      </c>
    </row>
    <row r="19" spans="1:17" x14ac:dyDescent="0.2">
      <c r="A19" s="4" t="s">
        <v>60</v>
      </c>
      <c r="B19" s="13">
        <v>794219275</v>
      </c>
      <c r="C19" s="13">
        <v>716778400.90999997</v>
      </c>
      <c r="D19" s="13">
        <v>77440874.090000033</v>
      </c>
      <c r="E19" s="13">
        <v>14502219.529999999</v>
      </c>
      <c r="F19" s="13">
        <v>19107637</v>
      </c>
      <c r="G19" s="14">
        <v>4.05</v>
      </c>
      <c r="H19" s="14">
        <v>0.76</v>
      </c>
      <c r="I19" s="13">
        <v>1208518.2941666667</v>
      </c>
      <c r="J19" s="15">
        <v>5</v>
      </c>
      <c r="K19" s="13">
        <v>71398282.619166702</v>
      </c>
      <c r="L19" s="13">
        <v>7845120.0180000067</v>
      </c>
      <c r="M19" s="13">
        <v>5934356.3180000065</v>
      </c>
      <c r="N19" s="197">
        <v>43647</v>
      </c>
      <c r="O19" s="16">
        <v>45474</v>
      </c>
      <c r="P19" s="13">
        <v>1367857.74</v>
      </c>
      <c r="Q19" s="242" t="e">
        <v>#VALUE!</v>
      </c>
    </row>
    <row r="20" spans="1:17" x14ac:dyDescent="0.2">
      <c r="A20" s="4" t="s">
        <v>40</v>
      </c>
      <c r="B20" s="13">
        <v>500565228.91000003</v>
      </c>
      <c r="C20" s="13">
        <v>460001337.69</v>
      </c>
      <c r="D20" s="13">
        <v>40563891.220000029</v>
      </c>
      <c r="E20" s="13">
        <v>9020263.75</v>
      </c>
      <c r="F20" s="13">
        <v>10539100</v>
      </c>
      <c r="G20" s="14">
        <v>3.85</v>
      </c>
      <c r="H20" s="14">
        <v>0.86</v>
      </c>
      <c r="I20" s="13">
        <v>751688.64583333337</v>
      </c>
      <c r="J20" s="15">
        <v>5</v>
      </c>
      <c r="K20" s="13">
        <v>36805447.990833364</v>
      </c>
      <c r="L20" s="13">
        <v>3897138.2440000055</v>
      </c>
      <c r="M20" s="13">
        <v>2843228.2440000055</v>
      </c>
      <c r="N20" s="197">
        <v>43647</v>
      </c>
      <c r="O20" s="16">
        <v>45474</v>
      </c>
      <c r="P20" s="13">
        <v>168953.32</v>
      </c>
      <c r="Q20" s="242" t="e">
        <v>#VALUE!</v>
      </c>
    </row>
    <row r="21" spans="1:17" x14ac:dyDescent="0.2">
      <c r="A21" s="4" t="s">
        <v>55</v>
      </c>
      <c r="B21" s="13">
        <v>254239457</v>
      </c>
      <c r="C21" s="13">
        <v>232762621.74000001</v>
      </c>
      <c r="D21" s="13">
        <v>21476835.25999999</v>
      </c>
      <c r="E21" s="13">
        <v>6475172.9000000004</v>
      </c>
      <c r="F21" s="13">
        <v>5680880</v>
      </c>
      <c r="G21" s="14">
        <v>3.78</v>
      </c>
      <c r="H21" s="14">
        <v>1.1399999999999999</v>
      </c>
      <c r="I21" s="13">
        <v>539597.7416666667</v>
      </c>
      <c r="J21" s="15">
        <v>-1</v>
      </c>
      <c r="K21" s="13" t="s">
        <v>193</v>
      </c>
      <c r="L21" s="13" t="s">
        <v>193</v>
      </c>
      <c r="M21" s="13" t="s">
        <v>193</v>
      </c>
      <c r="N21" s="197">
        <v>43831</v>
      </c>
      <c r="O21" s="16">
        <v>45292</v>
      </c>
      <c r="P21" s="13">
        <v>397615.47</v>
      </c>
      <c r="Q21" s="242" t="e">
        <v>#VALUE!</v>
      </c>
    </row>
    <row r="22" spans="1:17" x14ac:dyDescent="0.2">
      <c r="A22" s="4" t="s">
        <v>16</v>
      </c>
      <c r="B22" s="13">
        <v>104394118</v>
      </c>
      <c r="C22" s="13">
        <v>94818683.930000007</v>
      </c>
      <c r="D22" s="13">
        <v>9575434.0699999928</v>
      </c>
      <c r="E22" s="13">
        <v>2519331.6800000002</v>
      </c>
      <c r="F22" s="13">
        <v>2677355</v>
      </c>
      <c r="G22" s="14">
        <v>3.58</v>
      </c>
      <c r="H22" s="14">
        <v>0.94</v>
      </c>
      <c r="I22" s="13">
        <v>209944.30666666667</v>
      </c>
      <c r="J22" s="15">
        <v>5</v>
      </c>
      <c r="K22" s="13">
        <v>8525712.5366666596</v>
      </c>
      <c r="L22" s="13">
        <v>844144.81399999862</v>
      </c>
      <c r="M22" s="13">
        <v>576409.31399999862</v>
      </c>
      <c r="N22" s="197">
        <v>43647</v>
      </c>
      <c r="O22" s="16">
        <v>45474</v>
      </c>
      <c r="P22" s="13">
        <v>352574.34</v>
      </c>
      <c r="Q22" s="242" t="e">
        <v>#VALUE!</v>
      </c>
    </row>
    <row r="23" spans="1:17" x14ac:dyDescent="0.2">
      <c r="A23" s="4" t="s">
        <v>33</v>
      </c>
      <c r="B23" s="13">
        <v>314446387.48000002</v>
      </c>
      <c r="C23" s="13">
        <v>285564880.88</v>
      </c>
      <c r="D23" s="13">
        <v>28881506.600000024</v>
      </c>
      <c r="E23" s="13">
        <v>7632323.7999999998</v>
      </c>
      <c r="F23" s="13">
        <v>8369791</v>
      </c>
      <c r="G23" s="14">
        <v>3.45</v>
      </c>
      <c r="H23" s="14">
        <v>0.91</v>
      </c>
      <c r="I23" s="13">
        <v>636026.98333333328</v>
      </c>
      <c r="J23" s="15">
        <v>5</v>
      </c>
      <c r="K23" s="13">
        <v>25701371.683333356</v>
      </c>
      <c r="L23" s="13">
        <v>2428384.9200000046</v>
      </c>
      <c r="M23" s="13">
        <v>1591405.8200000047</v>
      </c>
      <c r="N23" s="197">
        <v>43647</v>
      </c>
      <c r="O23" s="16">
        <v>45474</v>
      </c>
      <c r="P23" s="13">
        <v>326809.07</v>
      </c>
      <c r="Q23" s="242" t="e">
        <v>#VALUE!</v>
      </c>
    </row>
    <row r="24" spans="1:17" x14ac:dyDescent="0.2">
      <c r="A24" s="4" t="s">
        <v>51</v>
      </c>
      <c r="B24" s="13">
        <v>2001064841.29</v>
      </c>
      <c r="C24" s="13">
        <v>1862787015.8800001</v>
      </c>
      <c r="D24" s="13">
        <v>138277825.40999985</v>
      </c>
      <c r="E24" s="13">
        <v>39996698.899999999</v>
      </c>
      <c r="F24" s="13">
        <v>40779947</v>
      </c>
      <c r="G24" s="14">
        <v>3.39</v>
      </c>
      <c r="H24" s="14">
        <v>0.98</v>
      </c>
      <c r="I24" s="13">
        <v>3333058.2416666667</v>
      </c>
      <c r="J24" s="15">
        <v>-1</v>
      </c>
      <c r="K24" s="13" t="s">
        <v>193</v>
      </c>
      <c r="L24" s="13" t="s">
        <v>193</v>
      </c>
      <c r="M24" s="13" t="s">
        <v>193</v>
      </c>
      <c r="N24" s="197">
        <v>43831</v>
      </c>
      <c r="O24" s="16">
        <v>45292</v>
      </c>
      <c r="P24" s="13">
        <v>4204951.28</v>
      </c>
      <c r="Q24" s="242" t="e">
        <v>#VALUE!</v>
      </c>
    </row>
    <row r="25" spans="1:17" x14ac:dyDescent="0.2">
      <c r="A25" s="4" t="s">
        <v>28</v>
      </c>
      <c r="B25" s="13">
        <v>1059732308</v>
      </c>
      <c r="C25" s="13">
        <v>979016742.63</v>
      </c>
      <c r="D25" s="13">
        <v>80715565.370000005</v>
      </c>
      <c r="E25" s="13">
        <v>16985927.52</v>
      </c>
      <c r="F25" s="13">
        <v>24168777</v>
      </c>
      <c r="G25" s="14">
        <v>3.34</v>
      </c>
      <c r="H25" s="14">
        <v>0.7</v>
      </c>
      <c r="I25" s="13">
        <v>1415493.96</v>
      </c>
      <c r="J25" s="15">
        <v>-1</v>
      </c>
      <c r="K25" s="13" t="s">
        <v>193</v>
      </c>
      <c r="L25" s="13" t="s">
        <v>193</v>
      </c>
      <c r="M25" s="13" t="s">
        <v>193</v>
      </c>
      <c r="N25" s="197">
        <v>43831</v>
      </c>
      <c r="O25" s="16">
        <v>45292</v>
      </c>
      <c r="P25" s="13">
        <v>1302438</v>
      </c>
      <c r="Q25" s="242" t="e">
        <v>#VALUE!</v>
      </c>
    </row>
    <row r="26" spans="1:17" x14ac:dyDescent="0.2">
      <c r="A26" s="4" t="s">
        <v>21</v>
      </c>
      <c r="B26" s="13">
        <v>528328839.02999997</v>
      </c>
      <c r="C26" s="13">
        <v>482143589.43000001</v>
      </c>
      <c r="D26" s="13">
        <v>46185249.599999964</v>
      </c>
      <c r="E26" s="13">
        <v>16146298.49</v>
      </c>
      <c r="F26" s="13">
        <v>13880022</v>
      </c>
      <c r="G26" s="14">
        <v>3.33</v>
      </c>
      <c r="H26" s="14">
        <v>1.1599999999999999</v>
      </c>
      <c r="I26" s="13">
        <v>1345524.8741666668</v>
      </c>
      <c r="J26" s="15">
        <v>5</v>
      </c>
      <c r="K26" s="13">
        <v>39457625.229166627</v>
      </c>
      <c r="L26" s="13">
        <v>3685041.1199999927</v>
      </c>
      <c r="M26" s="13">
        <v>2297038.9199999929</v>
      </c>
      <c r="N26" s="197">
        <v>43647</v>
      </c>
      <c r="O26" s="16">
        <v>45474</v>
      </c>
      <c r="P26" s="13">
        <v>0</v>
      </c>
      <c r="Q26" s="242" t="e">
        <v>#VALUE!</v>
      </c>
    </row>
    <row r="27" spans="1:17" x14ac:dyDescent="0.2">
      <c r="A27" s="4" t="s">
        <v>45</v>
      </c>
      <c r="B27" s="13">
        <v>1228777673.53</v>
      </c>
      <c r="C27" s="13">
        <v>1073093246.58</v>
      </c>
      <c r="D27" s="13">
        <v>155684426.94999993</v>
      </c>
      <c r="E27" s="13">
        <v>64484828.439999998</v>
      </c>
      <c r="F27" s="13">
        <v>47456120</v>
      </c>
      <c r="G27" s="14">
        <v>3.28</v>
      </c>
      <c r="H27" s="14">
        <v>1.36</v>
      </c>
      <c r="I27" s="13">
        <v>5373735.7033333331</v>
      </c>
      <c r="J27" s="15">
        <v>-1</v>
      </c>
      <c r="K27" s="13" t="s">
        <v>193</v>
      </c>
      <c r="L27" s="13" t="s">
        <v>193</v>
      </c>
      <c r="M27" s="13" t="s">
        <v>193</v>
      </c>
      <c r="N27" s="197">
        <v>43831</v>
      </c>
      <c r="O27" s="16">
        <v>45292</v>
      </c>
      <c r="P27" s="13">
        <v>8171712.6900000004</v>
      </c>
      <c r="Q27" s="242" t="e">
        <v>#VALUE!</v>
      </c>
    </row>
    <row r="28" spans="1:17" x14ac:dyDescent="0.2">
      <c r="A28" s="4" t="s">
        <v>18</v>
      </c>
      <c r="B28" s="13">
        <v>782983569.92999995</v>
      </c>
      <c r="C28" s="13">
        <v>727950745.88</v>
      </c>
      <c r="D28" s="13">
        <v>55032824.049999952</v>
      </c>
      <c r="E28" s="13">
        <v>19226769.420000002</v>
      </c>
      <c r="F28" s="13">
        <v>17807834</v>
      </c>
      <c r="G28" s="14">
        <v>3.09</v>
      </c>
      <c r="H28" s="14">
        <v>1.08</v>
      </c>
      <c r="I28" s="13">
        <v>1602230.7850000001</v>
      </c>
      <c r="J28" s="15">
        <v>5</v>
      </c>
      <c r="K28" s="13">
        <v>47021670.124999955</v>
      </c>
      <c r="L28" s="13">
        <v>3883431.2099999906</v>
      </c>
      <c r="M28" s="13">
        <v>2102647.8099999903</v>
      </c>
      <c r="N28" s="197">
        <v>43647</v>
      </c>
      <c r="O28" s="16">
        <v>45474</v>
      </c>
      <c r="P28" s="13">
        <v>4054932.78</v>
      </c>
      <c r="Q28" s="242" t="e">
        <v>#VALUE!</v>
      </c>
    </row>
    <row r="29" spans="1:17" x14ac:dyDescent="0.2">
      <c r="A29" s="4" t="s">
        <v>29</v>
      </c>
      <c r="B29" s="13">
        <v>675052951</v>
      </c>
      <c r="C29" s="13">
        <v>629699763.55999994</v>
      </c>
      <c r="D29" s="13">
        <v>45353187.440000057</v>
      </c>
      <c r="E29" s="13">
        <v>12148679.390000001</v>
      </c>
      <c r="F29" s="13">
        <v>14786581</v>
      </c>
      <c r="G29" s="14">
        <v>3.07</v>
      </c>
      <c r="H29" s="14">
        <v>0.82</v>
      </c>
      <c r="I29" s="13">
        <v>1012389.9491666667</v>
      </c>
      <c r="J29" s="15">
        <v>-1</v>
      </c>
      <c r="K29" s="13" t="s">
        <v>193</v>
      </c>
      <c r="L29" s="13" t="s">
        <v>193</v>
      </c>
      <c r="M29" s="13" t="s">
        <v>193</v>
      </c>
      <c r="N29" s="197">
        <v>43466</v>
      </c>
      <c r="O29" s="16">
        <v>45292</v>
      </c>
      <c r="P29" s="13">
        <v>981646</v>
      </c>
      <c r="Q29" s="242" t="e">
        <v>#VALUE!</v>
      </c>
    </row>
    <row r="30" spans="1:17" x14ac:dyDescent="0.2">
      <c r="A30" s="4" t="s">
        <v>56</v>
      </c>
      <c r="B30" s="13">
        <v>1154905413</v>
      </c>
      <c r="C30" s="13">
        <v>1071688796.3</v>
      </c>
      <c r="D30" s="13">
        <v>83216616.700000048</v>
      </c>
      <c r="E30" s="13">
        <v>26051943.710000001</v>
      </c>
      <c r="F30" s="13">
        <v>27571438</v>
      </c>
      <c r="G30" s="14">
        <v>3.02</v>
      </c>
      <c r="H30" s="14">
        <v>0.94</v>
      </c>
      <c r="I30" s="13">
        <v>2170995.3091666666</v>
      </c>
      <c r="J30" s="15">
        <v>5</v>
      </c>
      <c r="K30" s="13">
        <v>72361640.154166713</v>
      </c>
      <c r="L30" s="13">
        <v>5614748.1400000099</v>
      </c>
      <c r="M30" s="13">
        <v>2857604.3400000096</v>
      </c>
      <c r="N30" s="197">
        <v>43647</v>
      </c>
      <c r="O30" s="16">
        <v>45474</v>
      </c>
      <c r="P30" s="13">
        <v>2014117.73</v>
      </c>
      <c r="Q30" s="242" t="e">
        <v>#VALUE!</v>
      </c>
    </row>
    <row r="31" spans="1:17" x14ac:dyDescent="0.2">
      <c r="A31" s="4" t="s">
        <v>57</v>
      </c>
      <c r="B31" s="13">
        <v>2879313105.54</v>
      </c>
      <c r="C31" s="13">
        <v>2672264076.25</v>
      </c>
      <c r="D31" s="13">
        <v>207049029.28999996</v>
      </c>
      <c r="E31" s="13">
        <v>74830894.040000007</v>
      </c>
      <c r="F31" s="13">
        <v>70613641</v>
      </c>
      <c r="G31" s="14">
        <v>2.93</v>
      </c>
      <c r="H31" s="14">
        <v>1.06</v>
      </c>
      <c r="I31" s="13">
        <v>6235907.8366666669</v>
      </c>
      <c r="J31" s="15">
        <v>7</v>
      </c>
      <c r="K31" s="13">
        <v>163397674.43333328</v>
      </c>
      <c r="L31" s="13">
        <v>9403106.7557142805</v>
      </c>
      <c r="M31" s="13" t="s">
        <v>192</v>
      </c>
      <c r="N31" s="197">
        <v>44075</v>
      </c>
      <c r="O31" s="16">
        <v>45536</v>
      </c>
      <c r="P31" s="13">
        <v>4635171.24</v>
      </c>
      <c r="Q31" s="242" t="e">
        <v>#VALUE!</v>
      </c>
    </row>
    <row r="32" spans="1:17" x14ac:dyDescent="0.2">
      <c r="A32" s="4" t="s">
        <v>34</v>
      </c>
      <c r="B32" s="13">
        <v>1394382977.99</v>
      </c>
      <c r="C32" s="13">
        <v>1295524665.8900001</v>
      </c>
      <c r="D32" s="13">
        <v>98858312.099999905</v>
      </c>
      <c r="E32" s="13">
        <v>33747783.18</v>
      </c>
      <c r="F32" s="13">
        <v>34869850</v>
      </c>
      <c r="G32" s="14">
        <v>2.84</v>
      </c>
      <c r="H32" s="14">
        <v>0.97</v>
      </c>
      <c r="I32" s="13">
        <v>2812315.2650000001</v>
      </c>
      <c r="J32" s="15">
        <v>2</v>
      </c>
      <c r="K32" s="13">
        <v>93233681.569999903</v>
      </c>
      <c r="L32" s="13">
        <v>14559306.049999952</v>
      </c>
      <c r="M32" s="13">
        <v>5841843.5499999523</v>
      </c>
      <c r="N32" s="197">
        <v>43922</v>
      </c>
      <c r="O32" s="16">
        <v>45383</v>
      </c>
      <c r="P32" s="13">
        <v>3763900.44</v>
      </c>
      <c r="Q32" s="242" t="e">
        <v>#VALUE!</v>
      </c>
    </row>
    <row r="33" spans="1:17" x14ac:dyDescent="0.2">
      <c r="A33" s="4" t="s">
        <v>20</v>
      </c>
      <c r="B33" s="13">
        <v>383328400.93000001</v>
      </c>
      <c r="C33" s="13">
        <v>356955767.99000001</v>
      </c>
      <c r="D33" s="13">
        <v>26372632.939999998</v>
      </c>
      <c r="E33" s="13">
        <v>9937172.8699999992</v>
      </c>
      <c r="F33" s="13">
        <v>9345978</v>
      </c>
      <c r="G33" s="14">
        <v>2.82</v>
      </c>
      <c r="H33" s="14">
        <v>1.06</v>
      </c>
      <c r="I33" s="13">
        <v>828097.73916666664</v>
      </c>
      <c r="J33" s="15">
        <v>2</v>
      </c>
      <c r="K33" s="13">
        <v>24716437.461666666</v>
      </c>
      <c r="L33" s="13">
        <v>3840338.4699999988</v>
      </c>
      <c r="M33" s="13">
        <v>1503843.9699999988</v>
      </c>
      <c r="N33" s="197">
        <v>43556</v>
      </c>
      <c r="O33" s="16">
        <v>45383</v>
      </c>
      <c r="P33" s="13">
        <v>294855.17</v>
      </c>
      <c r="Q33" s="242" t="e">
        <v>#VALUE!</v>
      </c>
    </row>
    <row r="34" spans="1:17" x14ac:dyDescent="0.2">
      <c r="A34" s="4" t="s">
        <v>50</v>
      </c>
      <c r="B34" s="13">
        <v>545409679.30999994</v>
      </c>
      <c r="C34" s="13">
        <v>512522157.31</v>
      </c>
      <c r="D34" s="13">
        <v>32887521.99999994</v>
      </c>
      <c r="E34" s="13">
        <v>16843843.829999998</v>
      </c>
      <c r="F34" s="13">
        <v>11656242</v>
      </c>
      <c r="G34" s="14">
        <v>2.82</v>
      </c>
      <c r="H34" s="14">
        <v>1.45</v>
      </c>
      <c r="I34" s="13">
        <v>1403653.6524999999</v>
      </c>
      <c r="J34" s="15">
        <v>-1</v>
      </c>
      <c r="K34" s="13" t="s">
        <v>193</v>
      </c>
      <c r="L34" s="13" t="s">
        <v>193</v>
      </c>
      <c r="M34" s="13" t="s">
        <v>193</v>
      </c>
      <c r="N34" s="197">
        <v>43831</v>
      </c>
      <c r="O34" s="16">
        <v>45292</v>
      </c>
      <c r="P34" s="13">
        <v>448933</v>
      </c>
      <c r="Q34" s="242" t="e">
        <v>#VALUE!</v>
      </c>
    </row>
    <row r="35" spans="1:17" x14ac:dyDescent="0.2">
      <c r="A35" s="4" t="s">
        <v>61</v>
      </c>
      <c r="B35" s="13">
        <v>522049097</v>
      </c>
      <c r="C35" s="13">
        <v>485160555.61000001</v>
      </c>
      <c r="D35" s="13">
        <v>36888541.389999986</v>
      </c>
      <c r="E35" s="13">
        <v>15534583.25</v>
      </c>
      <c r="F35" s="13">
        <v>13105608</v>
      </c>
      <c r="G35" s="14">
        <v>2.81</v>
      </c>
      <c r="H35" s="14">
        <v>1.19</v>
      </c>
      <c r="I35" s="13">
        <v>1294548.6041666667</v>
      </c>
      <c r="J35" s="15">
        <v>5</v>
      </c>
      <c r="K35" s="13">
        <v>30415798.36916665</v>
      </c>
      <c r="L35" s="13">
        <v>2135465.077999997</v>
      </c>
      <c r="M35" s="13" t="s">
        <v>192</v>
      </c>
      <c r="N35" s="197">
        <v>43647</v>
      </c>
      <c r="O35" s="16">
        <v>45474</v>
      </c>
      <c r="P35" s="13">
        <v>1580860.16</v>
      </c>
      <c r="Q35" s="242" t="e">
        <v>#VALUE!</v>
      </c>
    </row>
    <row r="36" spans="1:17" x14ac:dyDescent="0.2">
      <c r="A36" s="4" t="s">
        <v>42</v>
      </c>
      <c r="B36" s="13">
        <v>346058940</v>
      </c>
      <c r="C36" s="13">
        <v>319966107.76999998</v>
      </c>
      <c r="D36" s="13">
        <v>26092832.230000019</v>
      </c>
      <c r="E36" s="13">
        <v>5120678.08</v>
      </c>
      <c r="F36" s="13">
        <v>9353201</v>
      </c>
      <c r="G36" s="14">
        <v>2.79</v>
      </c>
      <c r="H36" s="14">
        <v>0.55000000000000004</v>
      </c>
      <c r="I36" s="13">
        <v>426723.17333333334</v>
      </c>
      <c r="J36" s="15">
        <v>-1</v>
      </c>
      <c r="K36" s="13" t="s">
        <v>193</v>
      </c>
      <c r="L36" s="13" t="s">
        <v>193</v>
      </c>
      <c r="M36" s="13" t="s">
        <v>193</v>
      </c>
      <c r="N36" s="197">
        <v>43831</v>
      </c>
      <c r="O36" s="16">
        <v>45292</v>
      </c>
      <c r="P36" s="13">
        <v>434032.51</v>
      </c>
      <c r="Q36" s="242" t="e">
        <v>#VALUE!</v>
      </c>
    </row>
    <row r="37" spans="1:17" x14ac:dyDescent="0.2">
      <c r="A37" s="4" t="s">
        <v>31</v>
      </c>
      <c r="B37" s="13">
        <v>1205115490</v>
      </c>
      <c r="C37" s="13">
        <v>1143496819.3</v>
      </c>
      <c r="D37" s="13">
        <v>61618670.700000048</v>
      </c>
      <c r="E37" s="13">
        <v>23212920.890000001</v>
      </c>
      <c r="F37" s="13">
        <v>22499042</v>
      </c>
      <c r="G37" s="14">
        <v>2.74</v>
      </c>
      <c r="H37" s="14">
        <v>1.03</v>
      </c>
      <c r="I37" s="13">
        <v>1934410.0741666667</v>
      </c>
      <c r="J37" s="15">
        <v>2</v>
      </c>
      <c r="K37" s="13">
        <v>57749850.551666714</v>
      </c>
      <c r="L37" s="13">
        <v>8310293.3500000238</v>
      </c>
      <c r="M37" s="13">
        <v>2685532.8500000238</v>
      </c>
      <c r="N37" s="197">
        <v>43922</v>
      </c>
      <c r="O37" s="16">
        <v>45383</v>
      </c>
      <c r="P37" s="13">
        <v>1892637.32</v>
      </c>
      <c r="Q37" s="242" t="e">
        <v>#VALUE!</v>
      </c>
    </row>
    <row r="38" spans="1:17" x14ac:dyDescent="0.2">
      <c r="A38" s="4" t="s">
        <v>25</v>
      </c>
      <c r="B38" s="13">
        <v>342887810.45999998</v>
      </c>
      <c r="C38" s="13">
        <v>320518492.98000002</v>
      </c>
      <c r="D38" s="13">
        <v>22369317.479999959</v>
      </c>
      <c r="E38" s="13">
        <v>8043746.4000000004</v>
      </c>
      <c r="F38" s="13">
        <v>8236180</v>
      </c>
      <c r="G38" s="14">
        <v>2.72</v>
      </c>
      <c r="H38" s="14">
        <v>0.98</v>
      </c>
      <c r="I38" s="13">
        <v>670312.20000000007</v>
      </c>
      <c r="J38" s="15">
        <v>2</v>
      </c>
      <c r="K38" s="13">
        <v>21028693.079999961</v>
      </c>
      <c r="L38" s="13">
        <v>2948478.7399999797</v>
      </c>
      <c r="M38" s="13">
        <v>889433.73999997973</v>
      </c>
      <c r="N38" s="197">
        <v>43556</v>
      </c>
      <c r="O38" s="16">
        <v>45383</v>
      </c>
      <c r="P38" s="13">
        <v>617148.87</v>
      </c>
      <c r="Q38" s="242" t="e">
        <v>#VALUE!</v>
      </c>
    </row>
    <row r="39" spans="1:17" x14ac:dyDescent="0.2">
      <c r="A39" s="4" t="s">
        <v>59</v>
      </c>
      <c r="B39" s="13">
        <v>277600986</v>
      </c>
      <c r="C39" s="13">
        <v>257425117.59</v>
      </c>
      <c r="D39" s="13">
        <v>20175868.409999996</v>
      </c>
      <c r="E39" s="13">
        <v>7154562.5700000003</v>
      </c>
      <c r="F39" s="13">
        <v>7461397</v>
      </c>
      <c r="G39" s="14">
        <v>2.7</v>
      </c>
      <c r="H39" s="14">
        <v>0.96</v>
      </c>
      <c r="I39" s="13">
        <v>596213.54749999999</v>
      </c>
      <c r="J39" s="15">
        <v>5</v>
      </c>
      <c r="K39" s="13">
        <v>17194800.672499996</v>
      </c>
      <c r="L39" s="13">
        <v>1050614.8819999993</v>
      </c>
      <c r="M39" s="13" t="s">
        <v>192</v>
      </c>
      <c r="N39" s="197">
        <v>43647</v>
      </c>
      <c r="O39" s="16">
        <v>45474</v>
      </c>
      <c r="P39" s="13">
        <v>355905.5</v>
      </c>
      <c r="Q39" s="242" t="e">
        <v>#VALUE!</v>
      </c>
    </row>
    <row r="40" spans="1:17" x14ac:dyDescent="0.2">
      <c r="A40" s="4" t="s">
        <v>27</v>
      </c>
      <c r="B40" s="13">
        <v>1309738768.5599999</v>
      </c>
      <c r="C40" s="13">
        <v>1227266462.9300001</v>
      </c>
      <c r="D40" s="13">
        <v>82472305.629999876</v>
      </c>
      <c r="E40" s="13">
        <v>24359096.670000002</v>
      </c>
      <c r="F40" s="13">
        <v>30738746</v>
      </c>
      <c r="G40" s="14">
        <v>2.68</v>
      </c>
      <c r="H40" s="14">
        <v>0.79</v>
      </c>
      <c r="I40" s="13">
        <v>2029924.7225000001</v>
      </c>
      <c r="J40" s="15">
        <v>5</v>
      </c>
      <c r="K40" s="13">
        <v>72322682.017499879</v>
      </c>
      <c r="L40" s="13">
        <v>4198962.7259999756</v>
      </c>
      <c r="M40" s="13" t="s">
        <v>192</v>
      </c>
      <c r="N40" s="197">
        <v>43647</v>
      </c>
      <c r="O40" s="16">
        <v>45474</v>
      </c>
      <c r="P40" s="13">
        <v>0</v>
      </c>
      <c r="Q40" s="242" t="e">
        <v>#VALUE!</v>
      </c>
    </row>
    <row r="41" spans="1:17" x14ac:dyDescent="0.2">
      <c r="A41" s="4" t="s">
        <v>38</v>
      </c>
      <c r="B41" s="13">
        <v>987264872</v>
      </c>
      <c r="C41" s="13">
        <v>924480890.71000004</v>
      </c>
      <c r="D41" s="13">
        <v>62783981.289999962</v>
      </c>
      <c r="E41" s="13">
        <v>33852965.25</v>
      </c>
      <c r="F41" s="13">
        <v>23383549</v>
      </c>
      <c r="G41" s="14">
        <v>2.68</v>
      </c>
      <c r="H41" s="14">
        <v>1.45</v>
      </c>
      <c r="I41" s="13">
        <v>2821080.4375</v>
      </c>
      <c r="J41" s="15">
        <v>2</v>
      </c>
      <c r="K41" s="13">
        <v>57141820.414999962</v>
      </c>
      <c r="L41" s="13">
        <v>8008441.6449999809</v>
      </c>
      <c r="M41" s="13" t="s">
        <v>192</v>
      </c>
      <c r="N41" s="197">
        <v>43922</v>
      </c>
      <c r="O41" s="16">
        <v>45383</v>
      </c>
      <c r="P41" s="13">
        <v>2675941.46</v>
      </c>
      <c r="Q41" s="242" t="e">
        <v>#VALUE!</v>
      </c>
    </row>
    <row r="42" spans="1:17" x14ac:dyDescent="0.2">
      <c r="A42" s="4" t="s">
        <v>41</v>
      </c>
      <c r="B42" s="13">
        <v>98701064</v>
      </c>
      <c r="C42" s="13">
        <v>91268021.930000007</v>
      </c>
      <c r="D42" s="13">
        <v>7433042.0699999928</v>
      </c>
      <c r="E42" s="13">
        <v>5028431.59</v>
      </c>
      <c r="F42" s="13">
        <v>2898567</v>
      </c>
      <c r="G42" s="14">
        <v>2.56</v>
      </c>
      <c r="H42" s="14">
        <v>1.73</v>
      </c>
      <c r="I42" s="13">
        <v>419035.96583333332</v>
      </c>
      <c r="J42" s="15">
        <v>5</v>
      </c>
      <c r="K42" s="13">
        <v>5337862.2408333262</v>
      </c>
      <c r="L42" s="13" t="s">
        <v>192</v>
      </c>
      <c r="M42" s="13" t="s">
        <v>192</v>
      </c>
      <c r="N42" s="197">
        <v>43647</v>
      </c>
      <c r="O42" s="16">
        <v>45474</v>
      </c>
      <c r="P42" s="13">
        <v>0</v>
      </c>
      <c r="Q42" s="242" t="e">
        <v>#VALUE!</v>
      </c>
    </row>
    <row r="43" spans="1:17" x14ac:dyDescent="0.2">
      <c r="A43" s="4" t="s">
        <v>49</v>
      </c>
      <c r="B43" s="13">
        <v>685388676.61000001</v>
      </c>
      <c r="C43" s="13">
        <v>651646423.25</v>
      </c>
      <c r="D43" s="13">
        <v>33742253.360000014</v>
      </c>
      <c r="E43" s="13">
        <v>16208741.77</v>
      </c>
      <c r="F43" s="13">
        <v>13963452</v>
      </c>
      <c r="G43" s="14">
        <v>2.42</v>
      </c>
      <c r="H43" s="14">
        <v>1.1599999999999999</v>
      </c>
      <c r="I43" s="13">
        <v>1350728.4808333332</v>
      </c>
      <c r="J43" s="15">
        <v>2</v>
      </c>
      <c r="K43" s="13">
        <v>31040796.398333348</v>
      </c>
      <c r="L43" s="13">
        <v>2907674.6800000072</v>
      </c>
      <c r="M43" s="13" t="s">
        <v>192</v>
      </c>
      <c r="N43" s="197">
        <v>43922</v>
      </c>
      <c r="O43" s="16">
        <v>45383</v>
      </c>
      <c r="P43" s="13">
        <v>778167.38</v>
      </c>
      <c r="Q43" s="242" t="e">
        <v>#VALUE!</v>
      </c>
    </row>
    <row r="44" spans="1:17" x14ac:dyDescent="0.2">
      <c r="A44" s="4" t="s">
        <v>48</v>
      </c>
      <c r="B44" s="13">
        <v>1940110596.77</v>
      </c>
      <c r="C44" s="13">
        <v>1835513138.21</v>
      </c>
      <c r="D44" s="13">
        <v>104597458.55999994</v>
      </c>
      <c r="E44" s="13">
        <v>41945429.640000001</v>
      </c>
      <c r="F44" s="13">
        <v>45492764</v>
      </c>
      <c r="G44" s="14">
        <v>2.2999999999999998</v>
      </c>
      <c r="H44" s="14">
        <v>0.92</v>
      </c>
      <c r="I44" s="13">
        <v>3495452.47</v>
      </c>
      <c r="J44" s="15">
        <v>5</v>
      </c>
      <c r="K44" s="13">
        <v>87120196.209999949</v>
      </c>
      <c r="L44" s="13" t="s">
        <v>192</v>
      </c>
      <c r="M44" s="13" t="s">
        <v>192</v>
      </c>
      <c r="N44" s="197">
        <v>43647</v>
      </c>
      <c r="O44" s="16">
        <v>45474</v>
      </c>
      <c r="P44" s="13">
        <v>2837532.78</v>
      </c>
      <c r="Q44" s="242" t="e">
        <v>#VALUE!</v>
      </c>
    </row>
    <row r="45" spans="1:17" x14ac:dyDescent="0.2">
      <c r="A45" s="4" t="s">
        <v>37</v>
      </c>
      <c r="B45" s="13">
        <v>1215383392.1700001</v>
      </c>
      <c r="C45" s="13">
        <v>1159919093.0799999</v>
      </c>
      <c r="D45" s="13">
        <v>55464299.090000153</v>
      </c>
      <c r="E45" s="13">
        <v>17966518.129999999</v>
      </c>
      <c r="F45" s="13">
        <v>24335266</v>
      </c>
      <c r="G45" s="14">
        <v>2.2799999999999998</v>
      </c>
      <c r="H45" s="14">
        <v>0.74</v>
      </c>
      <c r="I45" s="13">
        <v>1497209.8441666665</v>
      </c>
      <c r="J45" s="15">
        <v>5</v>
      </c>
      <c r="K45" s="13">
        <v>47978249.869166821</v>
      </c>
      <c r="L45" s="13" t="s">
        <v>192</v>
      </c>
      <c r="M45" s="13" t="s">
        <v>192</v>
      </c>
      <c r="N45" s="197">
        <v>43647</v>
      </c>
      <c r="O45" s="16">
        <v>45474</v>
      </c>
      <c r="P45" s="13">
        <v>496999.4</v>
      </c>
      <c r="Q45" s="242" t="e">
        <v>#VALUE!</v>
      </c>
    </row>
    <row r="46" spans="1:17" x14ac:dyDescent="0.2">
      <c r="A46" s="4" t="s">
        <v>24</v>
      </c>
      <c r="B46" s="13">
        <v>1601312682.0699999</v>
      </c>
      <c r="C46" s="13">
        <v>1508610862.54</v>
      </c>
      <c r="D46" s="13">
        <v>92701819.529999971</v>
      </c>
      <c r="E46" s="13">
        <v>37837253.390000001</v>
      </c>
      <c r="F46" s="13">
        <v>41389514</v>
      </c>
      <c r="G46" s="14">
        <v>2.2400000000000002</v>
      </c>
      <c r="H46" s="14">
        <v>0.91</v>
      </c>
      <c r="I46" s="13">
        <v>3153104.4491666667</v>
      </c>
      <c r="J46" s="15">
        <v>5</v>
      </c>
      <c r="K46" s="13">
        <v>76936297.284166634</v>
      </c>
      <c r="L46" s="13" t="s">
        <v>192</v>
      </c>
      <c r="M46" s="13" t="s">
        <v>192</v>
      </c>
      <c r="N46" s="197">
        <v>43647</v>
      </c>
      <c r="O46" s="16">
        <v>45474</v>
      </c>
      <c r="P46" s="13">
        <v>2050209.54</v>
      </c>
      <c r="Q46" s="242" t="e">
        <v>#VALUE!</v>
      </c>
    </row>
    <row r="47" spans="1:17" x14ac:dyDescent="0.2">
      <c r="A47" s="4" t="s">
        <v>17</v>
      </c>
      <c r="B47" s="13">
        <v>389160034</v>
      </c>
      <c r="C47" s="13">
        <v>366536613.19</v>
      </c>
      <c r="D47" s="13">
        <v>22623420.810000002</v>
      </c>
      <c r="E47" s="13">
        <v>10078767.09</v>
      </c>
      <c r="F47" s="13">
        <v>10126728</v>
      </c>
      <c r="G47" s="14">
        <v>2.23</v>
      </c>
      <c r="H47" s="14">
        <v>1</v>
      </c>
      <c r="I47" s="13">
        <v>839897.25749999995</v>
      </c>
      <c r="J47" s="15">
        <v>5</v>
      </c>
      <c r="K47" s="13">
        <v>18423934.522500001</v>
      </c>
      <c r="L47" s="13" t="s">
        <v>192</v>
      </c>
      <c r="M47" s="13" t="s">
        <v>192</v>
      </c>
      <c r="N47" s="197">
        <v>43647</v>
      </c>
      <c r="O47" s="16">
        <v>45474</v>
      </c>
      <c r="P47" s="13">
        <v>1114125.54</v>
      </c>
      <c r="Q47" s="242" t="e">
        <v>#VALUE!</v>
      </c>
    </row>
    <row r="48" spans="1:17" x14ac:dyDescent="0.2">
      <c r="A48" s="4" t="s">
        <v>32</v>
      </c>
      <c r="B48" s="13">
        <v>497245980</v>
      </c>
      <c r="C48" s="13">
        <v>470897285.83999997</v>
      </c>
      <c r="D48" s="13">
        <v>26348694.160000026</v>
      </c>
      <c r="E48" s="13">
        <v>11650838.25</v>
      </c>
      <c r="F48" s="13">
        <v>11808636</v>
      </c>
      <c r="G48" s="14">
        <v>2.23</v>
      </c>
      <c r="H48" s="14">
        <v>0.99</v>
      </c>
      <c r="I48" s="13">
        <v>970903.1875</v>
      </c>
      <c r="J48" s="15">
        <v>-1</v>
      </c>
      <c r="K48" s="13" t="s">
        <v>193</v>
      </c>
      <c r="L48" s="13" t="s">
        <v>193</v>
      </c>
      <c r="M48" s="13" t="s">
        <v>193</v>
      </c>
      <c r="N48" s="197">
        <v>43831</v>
      </c>
      <c r="O48" s="16">
        <v>45292</v>
      </c>
      <c r="P48" s="13">
        <v>922058.07</v>
      </c>
      <c r="Q48" s="242" t="e">
        <v>#VALUE!</v>
      </c>
    </row>
    <row r="49" spans="1:17" x14ac:dyDescent="0.2">
      <c r="A49" s="4" t="s">
        <v>63</v>
      </c>
      <c r="B49" s="13">
        <v>1082941284</v>
      </c>
      <c r="C49" s="13">
        <v>1023329305.34</v>
      </c>
      <c r="D49" s="13">
        <v>59611978.659999967</v>
      </c>
      <c r="E49" s="13">
        <v>31298554.57</v>
      </c>
      <c r="F49" s="13">
        <v>27168342</v>
      </c>
      <c r="G49" s="14">
        <v>2.19</v>
      </c>
      <c r="H49" s="14">
        <v>1.1499999999999999</v>
      </c>
      <c r="I49" s="13">
        <v>2608212.8808333334</v>
      </c>
      <c r="J49" s="15">
        <v>2</v>
      </c>
      <c r="K49" s="13">
        <v>54395552.898333296</v>
      </c>
      <c r="L49" s="13">
        <v>2637647.3299999833</v>
      </c>
      <c r="M49" s="13" t="s">
        <v>192</v>
      </c>
      <c r="N49" s="197">
        <v>43922</v>
      </c>
      <c r="O49" s="16">
        <v>45383</v>
      </c>
      <c r="P49" s="13">
        <v>2837977.46</v>
      </c>
      <c r="Q49" s="242" t="e">
        <v>#VALUE!</v>
      </c>
    </row>
    <row r="50" spans="1:17" x14ac:dyDescent="0.2">
      <c r="A50" s="4" t="s">
        <v>58</v>
      </c>
      <c r="B50" s="13">
        <v>238203233</v>
      </c>
      <c r="C50" s="13">
        <v>227176500.47</v>
      </c>
      <c r="D50" s="13">
        <v>11026732.530000001</v>
      </c>
      <c r="E50" s="13">
        <v>5811347.0899999999</v>
      </c>
      <c r="F50" s="13">
        <v>5501208</v>
      </c>
      <c r="G50" s="14">
        <v>2</v>
      </c>
      <c r="H50" s="14">
        <v>1.06</v>
      </c>
      <c r="I50" s="13">
        <v>484278.92416666663</v>
      </c>
      <c r="J50" s="15">
        <v>5</v>
      </c>
      <c r="K50" s="13">
        <v>8605337.9091666676</v>
      </c>
      <c r="L50" s="13" t="s">
        <v>192</v>
      </c>
      <c r="M50" s="13" t="s">
        <v>192</v>
      </c>
      <c r="N50" s="197">
        <v>43647</v>
      </c>
      <c r="O50" s="16">
        <v>45474</v>
      </c>
      <c r="P50" s="13">
        <v>411481.69</v>
      </c>
      <c r="Q50" s="242" t="e">
        <v>#VALUE!</v>
      </c>
    </row>
    <row r="51" spans="1:17" x14ac:dyDescent="0.2">
      <c r="A51" s="4" t="s">
        <v>15</v>
      </c>
      <c r="B51" s="13">
        <v>1062416247.5</v>
      </c>
      <c r="C51" s="13">
        <v>1021949480.1900001</v>
      </c>
      <c r="D51" s="13">
        <v>40466767.309999943</v>
      </c>
      <c r="E51" s="13">
        <v>22500781.550000001</v>
      </c>
      <c r="F51" s="13">
        <v>23271036</v>
      </c>
      <c r="G51" s="14">
        <v>1.74</v>
      </c>
      <c r="H51" s="14">
        <v>0.97</v>
      </c>
      <c r="I51" s="13">
        <v>1875065.1291666667</v>
      </c>
      <c r="J51" s="15">
        <v>2</v>
      </c>
      <c r="K51" s="13">
        <v>36716637.05166661</v>
      </c>
      <c r="L51" s="13" t="s">
        <v>192</v>
      </c>
      <c r="M51" s="13" t="s">
        <v>192</v>
      </c>
      <c r="N51" s="197">
        <v>43556</v>
      </c>
      <c r="O51" s="16">
        <v>45383</v>
      </c>
      <c r="P51" s="13">
        <v>1890599.45</v>
      </c>
      <c r="Q51" s="242" t="e">
        <v>#VALUE!</v>
      </c>
    </row>
    <row r="52" spans="1:17" x14ac:dyDescent="0.2">
      <c r="A52" s="4" t="s">
        <v>22</v>
      </c>
      <c r="B52" s="13">
        <v>72717998</v>
      </c>
      <c r="C52" s="13">
        <v>71418184.969999999</v>
      </c>
      <c r="D52" s="18">
        <v>1299813.0300000012</v>
      </c>
      <c r="E52" s="13">
        <v>2483098.7799999998</v>
      </c>
      <c r="F52" s="13">
        <v>2684959</v>
      </c>
      <c r="G52" s="14">
        <v>0.48</v>
      </c>
      <c r="H52" s="14">
        <v>0.92</v>
      </c>
      <c r="I52" s="18">
        <v>206924.89833333332</v>
      </c>
      <c r="J52" s="15">
        <v>5</v>
      </c>
      <c r="K52" s="18">
        <v>265188.53833333461</v>
      </c>
      <c r="L52" s="18" t="s">
        <v>192</v>
      </c>
      <c r="M52" s="18" t="s">
        <v>192</v>
      </c>
      <c r="N52" s="198">
        <v>43647</v>
      </c>
      <c r="O52" s="16">
        <v>45474</v>
      </c>
      <c r="P52" s="13">
        <v>300414.03000000003</v>
      </c>
      <c r="Q52" s="242" t="e">
        <v>#VALUE!</v>
      </c>
    </row>
    <row r="53" spans="1:17" x14ac:dyDescent="0.25">
      <c r="A53" s="36" t="s">
        <v>65</v>
      </c>
      <c r="B53" s="33">
        <v>42891607766.709999</v>
      </c>
      <c r="C53" s="13">
        <v>39510054357.370003</v>
      </c>
      <c r="D53" s="33">
        <v>3381553409.3399963</v>
      </c>
      <c r="E53" s="13">
        <v>923873974.28999996</v>
      </c>
      <c r="F53" s="13">
        <v>984981185</v>
      </c>
      <c r="G53" s="14">
        <v>3.43</v>
      </c>
      <c r="H53" s="14">
        <v>0.94</v>
      </c>
      <c r="I53" s="33">
        <v>76989497.857500002</v>
      </c>
      <c r="J53" s="34"/>
      <c r="K53" s="35"/>
      <c r="L53" s="35"/>
      <c r="M53" s="35"/>
      <c r="N53" s="35"/>
      <c r="O53" s="35"/>
      <c r="P53" s="33">
        <v>70821787.919999987</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40</v>
      </c>
      <c r="H56" s="25"/>
    </row>
    <row r="57" spans="1:17" ht="27" customHeight="1" thickBot="1" x14ac:dyDescent="0.3">
      <c r="D57" s="248" t="s">
        <v>67</v>
      </c>
      <c r="E57" s="249"/>
      <c r="F57" s="249"/>
      <c r="G57" s="27"/>
      <c r="H57" s="28">
        <v>32</v>
      </c>
    </row>
  </sheetData>
  <mergeCells count="2">
    <mergeCell ref="D56:F56"/>
    <mergeCell ref="D57:F57"/>
  </mergeCells>
  <conditionalFormatting sqref="G54">
    <cfRule type="cellIs" dxfId="405" priority="13" stopIfTrue="1" operator="greaterThan">
      <formula>2.5</formula>
    </cfRule>
    <cfRule type="cellIs" dxfId="404" priority="14" stopIfTrue="1" operator="between">
      <formula>2.01</formula>
      <formula>2.5</formula>
    </cfRule>
  </conditionalFormatting>
  <conditionalFormatting sqref="H3:H53">
    <cfRule type="cellIs" dxfId="403" priority="12" stopIfTrue="1" operator="lessThan">
      <formula>1</formula>
    </cfRule>
  </conditionalFormatting>
  <conditionalFormatting sqref="G3:G53">
    <cfRule type="cellIs" dxfId="402" priority="10" stopIfTrue="1" operator="greaterThan">
      <formula>2.5</formula>
    </cfRule>
    <cfRule type="cellIs" dxfId="401" priority="11" stopIfTrue="1" operator="between">
      <formula>2.01</formula>
      <formula>2.5</formula>
    </cfRule>
  </conditionalFormatting>
  <conditionalFormatting sqref="K3:K52">
    <cfRule type="cellIs" dxfId="400" priority="8" stopIfTrue="1" operator="greaterThan">
      <formula>$F3*2.5</formula>
    </cfRule>
    <cfRule type="cellIs" dxfId="399" priority="9" stopIfTrue="1" operator="between">
      <formula>$F3*2</formula>
      <formula>$F3*2.5</formula>
    </cfRule>
  </conditionalFormatting>
  <conditionalFormatting sqref="G54">
    <cfRule type="cellIs" dxfId="398" priority="6" stopIfTrue="1" operator="greaterThan">
      <formula>2.5</formula>
    </cfRule>
    <cfRule type="cellIs" dxfId="397" priority="7" stopIfTrue="1" operator="between">
      <formula>2.01</formula>
      <formula>2.5</formula>
    </cfRule>
  </conditionalFormatting>
  <conditionalFormatting sqref="H3:H53">
    <cfRule type="cellIs" dxfId="396" priority="5" stopIfTrue="1" operator="lessThan">
      <formula>1</formula>
    </cfRule>
  </conditionalFormatting>
  <conditionalFormatting sqref="G3:G53">
    <cfRule type="cellIs" dxfId="395" priority="3" stopIfTrue="1" operator="greaterThan">
      <formula>2.5</formula>
    </cfRule>
    <cfRule type="cellIs" dxfId="394" priority="4" stopIfTrue="1" operator="between">
      <formula>2.01</formula>
      <formula>2.5</formula>
    </cfRule>
  </conditionalFormatting>
  <conditionalFormatting sqref="K3:K52">
    <cfRule type="cellIs" dxfId="393" priority="1" stopIfTrue="1" operator="greaterThan">
      <formula>$F3*2.5</formula>
    </cfRule>
    <cfRule type="cellIs" dxfId="392"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19C72-8F11-4CE6-94E1-B81DEEC17EAC}">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266</v>
      </c>
      <c r="B1" s="196" t="s">
        <v>267</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1139975937.45</v>
      </c>
      <c r="C3" s="13">
        <v>983034843.70000005</v>
      </c>
      <c r="D3" s="13">
        <v>156941093.75</v>
      </c>
      <c r="E3" s="13">
        <v>12157402.720000001</v>
      </c>
      <c r="F3" s="13">
        <v>24778539</v>
      </c>
      <c r="G3" s="14">
        <v>6.33</v>
      </c>
      <c r="H3" s="14">
        <v>0.49</v>
      </c>
      <c r="I3" s="13">
        <v>1013116.8933333334</v>
      </c>
      <c r="J3" s="15">
        <v>4</v>
      </c>
      <c r="K3" s="13">
        <v>152888626.17666668</v>
      </c>
      <c r="L3" s="13">
        <v>26846003.9375</v>
      </c>
      <c r="M3" s="13">
        <v>23748686.5625</v>
      </c>
      <c r="N3" s="197">
        <v>43647</v>
      </c>
      <c r="O3" s="16">
        <v>45474</v>
      </c>
      <c r="P3" s="13">
        <v>1077873.75</v>
      </c>
      <c r="Q3" s="243" t="e">
        <v>#VALUE!</v>
      </c>
    </row>
    <row r="4" spans="1:17" x14ac:dyDescent="0.2">
      <c r="A4" s="4" t="s">
        <v>46</v>
      </c>
      <c r="B4" s="13">
        <v>1788595890.3599999</v>
      </c>
      <c r="C4" s="13">
        <v>1529679133.1700001</v>
      </c>
      <c r="D4" s="13">
        <v>258916757.18999982</v>
      </c>
      <c r="E4" s="13">
        <v>32440779.75</v>
      </c>
      <c r="F4" s="13">
        <v>46272979</v>
      </c>
      <c r="G4" s="14">
        <v>5.6</v>
      </c>
      <c r="H4" s="14">
        <v>0.7</v>
      </c>
      <c r="I4" s="13">
        <v>2703398.3125</v>
      </c>
      <c r="J4" s="15">
        <v>-2</v>
      </c>
      <c r="K4" s="13" t="s">
        <v>193</v>
      </c>
      <c r="L4" s="13" t="s">
        <v>193</v>
      </c>
      <c r="M4" s="13" t="s">
        <v>193</v>
      </c>
      <c r="N4" s="197">
        <v>43831</v>
      </c>
      <c r="O4" s="16">
        <v>45292</v>
      </c>
      <c r="P4" s="13">
        <v>2086279.5</v>
      </c>
      <c r="Q4" s="242" t="e">
        <v>#VALUE!</v>
      </c>
    </row>
    <row r="5" spans="1:17" x14ac:dyDescent="0.2">
      <c r="A5" s="4" t="s">
        <v>62</v>
      </c>
      <c r="B5" s="13">
        <v>708696383.32000005</v>
      </c>
      <c r="C5" s="13">
        <v>631314508.11000001</v>
      </c>
      <c r="D5" s="13">
        <v>77381875.210000038</v>
      </c>
      <c r="E5" s="13">
        <v>11546516.800000001</v>
      </c>
      <c r="F5" s="13">
        <v>13833071</v>
      </c>
      <c r="G5" s="14">
        <v>5.59</v>
      </c>
      <c r="H5" s="14">
        <v>0.83</v>
      </c>
      <c r="I5" s="13">
        <v>962209.7333333334</v>
      </c>
      <c r="J5" s="15">
        <v>4</v>
      </c>
      <c r="K5" s="13">
        <v>73533036.276666701</v>
      </c>
      <c r="L5" s="13">
        <v>12428933.30250001</v>
      </c>
      <c r="M5" s="13">
        <v>10699799.42750001</v>
      </c>
      <c r="N5" s="197">
        <v>43647</v>
      </c>
      <c r="O5" s="16">
        <v>45474</v>
      </c>
      <c r="P5" s="13">
        <v>562563.17000000004</v>
      </c>
      <c r="Q5" s="242" t="e">
        <v>#VALUE!</v>
      </c>
    </row>
    <row r="6" spans="1:17" x14ac:dyDescent="0.2">
      <c r="A6" s="4" t="s">
        <v>35</v>
      </c>
      <c r="B6" s="13">
        <v>1469242870.97</v>
      </c>
      <c r="C6" s="13">
        <v>1293453042.96</v>
      </c>
      <c r="D6" s="13">
        <v>175789828.00999999</v>
      </c>
      <c r="E6" s="13">
        <v>22190418.140000001</v>
      </c>
      <c r="F6" s="13">
        <v>33073641</v>
      </c>
      <c r="G6" s="14">
        <v>5.32</v>
      </c>
      <c r="H6" s="14">
        <v>0.67</v>
      </c>
      <c r="I6" s="13">
        <v>1849201.5116666667</v>
      </c>
      <c r="J6" s="15">
        <v>4</v>
      </c>
      <c r="K6" s="13">
        <v>168393021.96333331</v>
      </c>
      <c r="L6" s="13">
        <v>27410636.502499998</v>
      </c>
      <c r="M6" s="13">
        <v>23276431.377499998</v>
      </c>
      <c r="N6" s="197">
        <v>43647</v>
      </c>
      <c r="O6" s="16">
        <v>45474</v>
      </c>
      <c r="P6" s="13">
        <v>638774.57999999996</v>
      </c>
      <c r="Q6" s="242" t="e">
        <v>#VALUE!</v>
      </c>
    </row>
    <row r="7" spans="1:17" x14ac:dyDescent="0.2">
      <c r="A7" s="4" t="s">
        <v>26</v>
      </c>
      <c r="B7" s="13">
        <v>1336273473.74</v>
      </c>
      <c r="C7" s="13">
        <v>1184281266.9200001</v>
      </c>
      <c r="D7" s="13">
        <v>151992206.81999993</v>
      </c>
      <c r="E7" s="13">
        <v>16622441.560000001</v>
      </c>
      <c r="F7" s="13">
        <v>29074134</v>
      </c>
      <c r="G7" s="14">
        <v>5.23</v>
      </c>
      <c r="H7" s="14">
        <v>0.56999999999999995</v>
      </c>
      <c r="I7" s="13">
        <v>1385203.4633333334</v>
      </c>
      <c r="J7" s="15">
        <v>-2</v>
      </c>
      <c r="K7" s="13" t="s">
        <v>193</v>
      </c>
      <c r="L7" s="13" t="s">
        <v>193</v>
      </c>
      <c r="M7" s="13" t="s">
        <v>193</v>
      </c>
      <c r="N7" s="197">
        <v>43831</v>
      </c>
      <c r="O7" s="16">
        <v>45292</v>
      </c>
      <c r="P7" s="13">
        <v>3073090.6</v>
      </c>
      <c r="Q7" s="242" t="e">
        <v>#VALUE!</v>
      </c>
    </row>
    <row r="8" spans="1:17" x14ac:dyDescent="0.2">
      <c r="A8" s="4" t="s">
        <v>53</v>
      </c>
      <c r="B8" s="13">
        <v>203184695.25999999</v>
      </c>
      <c r="C8" s="13">
        <v>175889590.36000001</v>
      </c>
      <c r="D8" s="13">
        <v>27295104.899999976</v>
      </c>
      <c r="E8" s="13">
        <v>3608194.32</v>
      </c>
      <c r="F8" s="13">
        <v>5655134</v>
      </c>
      <c r="G8" s="14">
        <v>4.83</v>
      </c>
      <c r="H8" s="14">
        <v>0.64</v>
      </c>
      <c r="I8" s="13">
        <v>300682.86</v>
      </c>
      <c r="J8" s="15">
        <v>4</v>
      </c>
      <c r="K8" s="13">
        <v>26092373.459999975</v>
      </c>
      <c r="L8" s="13">
        <v>3996209.224999994</v>
      </c>
      <c r="M8" s="13">
        <v>3289317.474999994</v>
      </c>
      <c r="N8" s="197">
        <v>43647</v>
      </c>
      <c r="O8" s="16">
        <v>45474</v>
      </c>
      <c r="P8" s="13">
        <v>59160.639999999999</v>
      </c>
      <c r="Q8" s="242" t="e">
        <v>#VALUE!</v>
      </c>
    </row>
    <row r="9" spans="1:17" x14ac:dyDescent="0.2">
      <c r="A9" s="4" t="s">
        <v>64</v>
      </c>
      <c r="B9" s="13">
        <v>120899760.39</v>
      </c>
      <c r="C9" s="13">
        <v>104375723.98999999</v>
      </c>
      <c r="D9" s="13">
        <v>16524036.400000006</v>
      </c>
      <c r="E9" s="13">
        <v>1721907.13</v>
      </c>
      <c r="F9" s="13">
        <v>3521015</v>
      </c>
      <c r="G9" s="14">
        <v>4.6900000000000004</v>
      </c>
      <c r="H9" s="14">
        <v>0.49</v>
      </c>
      <c r="I9" s="13">
        <v>143492.26083333333</v>
      </c>
      <c r="J9" s="15">
        <v>-2</v>
      </c>
      <c r="K9" s="13" t="s">
        <v>193</v>
      </c>
      <c r="L9" s="13" t="s">
        <v>193</v>
      </c>
      <c r="M9" s="13" t="s">
        <v>193</v>
      </c>
      <c r="N9" s="197">
        <v>43831</v>
      </c>
      <c r="O9" s="16">
        <v>45292</v>
      </c>
      <c r="P9" s="13">
        <v>51250.44</v>
      </c>
      <c r="Q9" s="242" t="e">
        <v>#VALUE!</v>
      </c>
    </row>
    <row r="10" spans="1:17" x14ac:dyDescent="0.2">
      <c r="A10" s="4" t="s">
        <v>44</v>
      </c>
      <c r="B10" s="13">
        <v>493558716</v>
      </c>
      <c r="C10" s="13">
        <v>444110809.05000001</v>
      </c>
      <c r="D10" s="13">
        <v>49447906.949999988</v>
      </c>
      <c r="E10" s="13">
        <v>6911370.0800000001</v>
      </c>
      <c r="F10" s="13">
        <v>11038481</v>
      </c>
      <c r="G10" s="14">
        <v>4.4800000000000004</v>
      </c>
      <c r="H10" s="14">
        <v>0.63</v>
      </c>
      <c r="I10" s="13">
        <v>575947.50666666671</v>
      </c>
      <c r="J10" s="15">
        <v>-2</v>
      </c>
      <c r="K10" s="13" t="s">
        <v>193</v>
      </c>
      <c r="L10" s="13" t="s">
        <v>193</v>
      </c>
      <c r="M10" s="13" t="s">
        <v>193</v>
      </c>
      <c r="N10" s="197">
        <v>43831</v>
      </c>
      <c r="O10" s="16">
        <v>45292</v>
      </c>
      <c r="P10" s="13">
        <v>359340.67</v>
      </c>
      <c r="Q10" s="242" t="e">
        <v>#VALUE!</v>
      </c>
    </row>
    <row r="11" spans="1:17" x14ac:dyDescent="0.2">
      <c r="A11" s="4" t="s">
        <v>39</v>
      </c>
      <c r="B11" s="13">
        <v>265120500</v>
      </c>
      <c r="C11" s="13">
        <v>237570856.05000001</v>
      </c>
      <c r="D11" s="13">
        <v>27549643.949999988</v>
      </c>
      <c r="E11" s="13">
        <v>7241054.4900000002</v>
      </c>
      <c r="F11" s="13">
        <v>6172506</v>
      </c>
      <c r="G11" s="14">
        <v>4.46</v>
      </c>
      <c r="H11" s="14">
        <v>1.17</v>
      </c>
      <c r="I11" s="13">
        <v>603421.20750000002</v>
      </c>
      <c r="J11" s="15">
        <v>1</v>
      </c>
      <c r="K11" s="13">
        <v>26946222.742499989</v>
      </c>
      <c r="L11" s="13">
        <v>15204631.949999988</v>
      </c>
      <c r="M11" s="13">
        <v>12118378.949999988</v>
      </c>
      <c r="N11" s="197">
        <v>43922</v>
      </c>
      <c r="O11" s="16">
        <v>45383</v>
      </c>
      <c r="P11" s="13">
        <v>760466.6</v>
      </c>
      <c r="Q11" s="242" t="e">
        <v>#VALUE!</v>
      </c>
    </row>
    <row r="12" spans="1:17" x14ac:dyDescent="0.2">
      <c r="A12" s="4" t="s">
        <v>47</v>
      </c>
      <c r="B12" s="13">
        <v>187480557</v>
      </c>
      <c r="C12" s="13">
        <v>172360382.22999999</v>
      </c>
      <c r="D12" s="13">
        <v>15120174.770000011</v>
      </c>
      <c r="E12" s="13">
        <v>2357645.96</v>
      </c>
      <c r="F12" s="13">
        <v>3515583</v>
      </c>
      <c r="G12" s="14">
        <v>4.3</v>
      </c>
      <c r="H12" s="14">
        <v>0.67</v>
      </c>
      <c r="I12" s="13">
        <v>196470.49666666667</v>
      </c>
      <c r="J12" s="15">
        <v>4</v>
      </c>
      <c r="K12" s="13">
        <v>14334292.783333344</v>
      </c>
      <c r="L12" s="13">
        <v>2022252.1925000027</v>
      </c>
      <c r="M12" s="13">
        <v>1582804.3175000027</v>
      </c>
      <c r="N12" s="197">
        <v>43647</v>
      </c>
      <c r="O12" s="16">
        <v>45474</v>
      </c>
      <c r="P12" s="13">
        <v>570300.82999999996</v>
      </c>
      <c r="Q12" s="242" t="e">
        <v>#VALUE!</v>
      </c>
    </row>
    <row r="13" spans="1:17" x14ac:dyDescent="0.2">
      <c r="A13" s="4" t="s">
        <v>52</v>
      </c>
      <c r="B13" s="13">
        <v>1945106991</v>
      </c>
      <c r="C13" s="13">
        <v>1850776575.0999999</v>
      </c>
      <c r="D13" s="13">
        <v>94330415.900000095</v>
      </c>
      <c r="E13" s="13">
        <v>20953922.140000001</v>
      </c>
      <c r="F13" s="13">
        <v>22131554</v>
      </c>
      <c r="G13" s="14">
        <v>4.26</v>
      </c>
      <c r="H13" s="14">
        <v>0.95</v>
      </c>
      <c r="I13" s="13">
        <v>1746160.1783333335</v>
      </c>
      <c r="J13" s="15">
        <v>4</v>
      </c>
      <c r="K13" s="13">
        <v>87345775.186666757</v>
      </c>
      <c r="L13" s="13">
        <v>12516826.975000024</v>
      </c>
      <c r="M13" s="13">
        <v>9750382.7250000238</v>
      </c>
      <c r="N13" s="197">
        <v>43647</v>
      </c>
      <c r="O13" s="16">
        <v>45474</v>
      </c>
      <c r="P13" s="13">
        <v>1546477.1</v>
      </c>
      <c r="Q13" s="242" t="e">
        <v>#VALUE!</v>
      </c>
    </row>
    <row r="14" spans="1:17" x14ac:dyDescent="0.2">
      <c r="A14" s="4" t="s">
        <v>36</v>
      </c>
      <c r="B14" s="13">
        <v>853256279</v>
      </c>
      <c r="C14" s="13">
        <v>773790979.03999996</v>
      </c>
      <c r="D14" s="13">
        <v>79465299.960000038</v>
      </c>
      <c r="E14" s="13">
        <v>18598804.719999999</v>
      </c>
      <c r="F14" s="13">
        <v>18836467</v>
      </c>
      <c r="G14" s="14">
        <v>4.22</v>
      </c>
      <c r="H14" s="14">
        <v>0.99</v>
      </c>
      <c r="I14" s="13">
        <v>1549900.3933333333</v>
      </c>
      <c r="J14" s="15">
        <v>7</v>
      </c>
      <c r="K14" s="13">
        <v>68615997.206666708</v>
      </c>
      <c r="L14" s="13">
        <v>5970337.9942857195</v>
      </c>
      <c r="M14" s="13">
        <v>4624876.0657142913</v>
      </c>
      <c r="N14" s="197">
        <v>43739</v>
      </c>
      <c r="O14" s="16">
        <v>45566</v>
      </c>
      <c r="P14" s="13">
        <v>1704650.71</v>
      </c>
      <c r="Q14" s="242" t="e">
        <v>#VALUE!</v>
      </c>
    </row>
    <row r="15" spans="1:17" x14ac:dyDescent="0.2">
      <c r="A15" s="4" t="s">
        <v>30</v>
      </c>
      <c r="B15" s="13">
        <v>1168142277.4400001</v>
      </c>
      <c r="C15" s="13">
        <v>1058948527.26</v>
      </c>
      <c r="D15" s="13">
        <v>109193750.18000007</v>
      </c>
      <c r="E15" s="13">
        <v>21317796.32</v>
      </c>
      <c r="F15" s="13">
        <v>26355588</v>
      </c>
      <c r="G15" s="14">
        <v>4.1399999999999997</v>
      </c>
      <c r="H15" s="14">
        <v>0.81</v>
      </c>
      <c r="I15" s="13">
        <v>1776483.0266666666</v>
      </c>
      <c r="J15" s="15">
        <v>4</v>
      </c>
      <c r="K15" s="13">
        <v>102087818.0733334</v>
      </c>
      <c r="L15" s="13">
        <v>14120643.545000017</v>
      </c>
      <c r="M15" s="13">
        <v>10826195.045000017</v>
      </c>
      <c r="N15" s="197">
        <v>43647</v>
      </c>
      <c r="O15" s="16">
        <v>45474</v>
      </c>
      <c r="P15" s="13">
        <v>1403294</v>
      </c>
      <c r="Q15" s="242" t="e">
        <v>#VALUE!</v>
      </c>
    </row>
    <row r="16" spans="1:17" x14ac:dyDescent="0.2">
      <c r="A16" s="4" t="s">
        <v>43</v>
      </c>
      <c r="B16" s="13">
        <v>300551063.33999997</v>
      </c>
      <c r="C16" s="13">
        <v>272917867.12</v>
      </c>
      <c r="D16" s="13">
        <v>27633196.219999969</v>
      </c>
      <c r="E16" s="13">
        <v>7084809.2199999997</v>
      </c>
      <c r="F16" s="13">
        <v>6730317</v>
      </c>
      <c r="G16" s="14">
        <v>4.1100000000000003</v>
      </c>
      <c r="H16" s="14">
        <v>1.05</v>
      </c>
      <c r="I16" s="13">
        <v>590400.76833333331</v>
      </c>
      <c r="J16" s="15">
        <v>4</v>
      </c>
      <c r="K16" s="13">
        <v>25271593.146666635</v>
      </c>
      <c r="L16" s="13">
        <v>3543140.5549999923</v>
      </c>
      <c r="M16" s="13">
        <v>2701850.9299999923</v>
      </c>
      <c r="N16" s="197">
        <v>43647</v>
      </c>
      <c r="O16" s="16">
        <v>45474</v>
      </c>
      <c r="P16" s="13">
        <v>0</v>
      </c>
      <c r="Q16" s="242" t="e">
        <v>#VALUE!</v>
      </c>
    </row>
    <row r="17" spans="1:17" x14ac:dyDescent="0.2">
      <c r="A17" s="4" t="s">
        <v>19</v>
      </c>
      <c r="B17" s="13">
        <v>1438428739.9100001</v>
      </c>
      <c r="C17" s="13">
        <v>1315934583.29</v>
      </c>
      <c r="D17" s="13">
        <v>122494156.62000012</v>
      </c>
      <c r="E17" s="13">
        <v>24089053.559999999</v>
      </c>
      <c r="F17" s="13">
        <v>30065955</v>
      </c>
      <c r="G17" s="14">
        <v>4.07</v>
      </c>
      <c r="H17" s="14">
        <v>0.8</v>
      </c>
      <c r="I17" s="13">
        <v>2007421.13</v>
      </c>
      <c r="J17" s="15">
        <v>4</v>
      </c>
      <c r="K17" s="13">
        <v>114464472.10000013</v>
      </c>
      <c r="L17" s="13">
        <v>15590561.655000031</v>
      </c>
      <c r="M17" s="13">
        <v>11832317.280000031</v>
      </c>
      <c r="N17" s="197">
        <v>43647</v>
      </c>
      <c r="O17" s="16">
        <v>45474</v>
      </c>
      <c r="P17" s="13">
        <v>5916321</v>
      </c>
      <c r="Q17" s="242" t="e">
        <v>#VALUE!</v>
      </c>
    </row>
    <row r="18" spans="1:17" x14ac:dyDescent="0.2">
      <c r="A18" s="4" t="s">
        <v>54</v>
      </c>
      <c r="B18" s="13">
        <v>1022430792.45</v>
      </c>
      <c r="C18" s="13">
        <v>943494502.23000002</v>
      </c>
      <c r="D18" s="13">
        <v>78936290.220000029</v>
      </c>
      <c r="E18" s="13">
        <v>25779463.370000001</v>
      </c>
      <c r="F18" s="13">
        <v>19809810</v>
      </c>
      <c r="G18" s="14">
        <v>3.98</v>
      </c>
      <c r="H18" s="14">
        <v>1.3</v>
      </c>
      <c r="I18" s="13">
        <v>2148288.6141666668</v>
      </c>
      <c r="J18" s="15">
        <v>1</v>
      </c>
      <c r="K18" s="13">
        <v>76788001.605833367</v>
      </c>
      <c r="L18" s="13">
        <v>39316670.220000029</v>
      </c>
      <c r="M18" s="13">
        <v>29411765.220000029</v>
      </c>
      <c r="N18" s="197">
        <v>43922</v>
      </c>
      <c r="O18" s="16">
        <v>45383</v>
      </c>
      <c r="P18" s="13">
        <v>2220838.37</v>
      </c>
      <c r="Q18" s="242" t="e">
        <v>#VALUE!</v>
      </c>
    </row>
    <row r="19" spans="1:17" x14ac:dyDescent="0.2">
      <c r="A19" s="4" t="s">
        <v>60</v>
      </c>
      <c r="B19" s="13">
        <v>794219275</v>
      </c>
      <c r="C19" s="13">
        <v>718090576.12</v>
      </c>
      <c r="D19" s="13">
        <v>76128698.879999995</v>
      </c>
      <c r="E19" s="13">
        <v>14400497.77</v>
      </c>
      <c r="F19" s="13">
        <v>19107637</v>
      </c>
      <c r="G19" s="14">
        <v>3.98</v>
      </c>
      <c r="H19" s="14">
        <v>0.75</v>
      </c>
      <c r="I19" s="13">
        <v>1200041.4808333332</v>
      </c>
      <c r="J19" s="15">
        <v>4</v>
      </c>
      <c r="K19" s="13">
        <v>71328532.956666663</v>
      </c>
      <c r="L19" s="13">
        <v>9478356.2199999988</v>
      </c>
      <c r="M19" s="13">
        <v>7089901.5949999988</v>
      </c>
      <c r="N19" s="197">
        <v>43647</v>
      </c>
      <c r="O19" s="16">
        <v>45474</v>
      </c>
      <c r="P19" s="13">
        <v>1312175.21</v>
      </c>
      <c r="Q19" s="242" t="e">
        <v>#VALUE!</v>
      </c>
    </row>
    <row r="20" spans="1:17" x14ac:dyDescent="0.2">
      <c r="A20" s="4" t="s">
        <v>40</v>
      </c>
      <c r="B20" s="13">
        <v>500565228.91000003</v>
      </c>
      <c r="C20" s="13">
        <v>460331776.91000003</v>
      </c>
      <c r="D20" s="13">
        <v>40233452</v>
      </c>
      <c r="E20" s="13">
        <v>7662908.2800000003</v>
      </c>
      <c r="F20" s="13">
        <v>10539100</v>
      </c>
      <c r="G20" s="14">
        <v>3.82</v>
      </c>
      <c r="H20" s="14">
        <v>0.73</v>
      </c>
      <c r="I20" s="13">
        <v>638575.69000000006</v>
      </c>
      <c r="J20" s="15">
        <v>4</v>
      </c>
      <c r="K20" s="13">
        <v>37679149.240000002</v>
      </c>
      <c r="L20" s="13">
        <v>4788813</v>
      </c>
      <c r="M20" s="13">
        <v>3471425.5</v>
      </c>
      <c r="N20" s="197">
        <v>43647</v>
      </c>
      <c r="O20" s="16">
        <v>45474</v>
      </c>
      <c r="P20" s="13">
        <v>330439.21999999997</v>
      </c>
      <c r="Q20" s="242" t="e">
        <v>#VALUE!</v>
      </c>
    </row>
    <row r="21" spans="1:17" x14ac:dyDescent="0.2">
      <c r="A21" s="4" t="s">
        <v>55</v>
      </c>
      <c r="B21" s="13">
        <v>254239457</v>
      </c>
      <c r="C21" s="13">
        <v>233768864.05000001</v>
      </c>
      <c r="D21" s="13">
        <v>20470592.949999988</v>
      </c>
      <c r="E21" s="13">
        <v>5394428.1600000001</v>
      </c>
      <c r="F21" s="13">
        <v>5680880</v>
      </c>
      <c r="G21" s="14">
        <v>3.6</v>
      </c>
      <c r="H21" s="14">
        <v>0.95</v>
      </c>
      <c r="I21" s="13">
        <v>449535.68</v>
      </c>
      <c r="J21" s="15">
        <v>-2</v>
      </c>
      <c r="K21" s="13" t="s">
        <v>193</v>
      </c>
      <c r="L21" s="13" t="s">
        <v>193</v>
      </c>
      <c r="M21" s="13" t="s">
        <v>193</v>
      </c>
      <c r="N21" s="197">
        <v>43831</v>
      </c>
      <c r="O21" s="16">
        <v>45292</v>
      </c>
      <c r="P21" s="13">
        <v>1006242.31</v>
      </c>
      <c r="Q21" s="242" t="e">
        <v>#VALUE!</v>
      </c>
    </row>
    <row r="22" spans="1:17" x14ac:dyDescent="0.2">
      <c r="A22" s="4" t="s">
        <v>20</v>
      </c>
      <c r="B22" s="13">
        <v>392634217.93000001</v>
      </c>
      <c r="C22" s="13">
        <v>359351767.99000001</v>
      </c>
      <c r="D22" s="13">
        <v>33282449.939999998</v>
      </c>
      <c r="E22" s="13">
        <v>11876753.91</v>
      </c>
      <c r="F22" s="13">
        <v>9305817</v>
      </c>
      <c r="G22" s="14">
        <v>3.58</v>
      </c>
      <c r="H22" s="14">
        <v>1.28</v>
      </c>
      <c r="I22" s="13">
        <v>989729.49250000005</v>
      </c>
      <c r="J22" s="15">
        <v>1</v>
      </c>
      <c r="K22" s="13">
        <v>32292720.447499998</v>
      </c>
      <c r="L22" s="13">
        <v>14670815.939999998</v>
      </c>
      <c r="M22" s="13">
        <v>10017907.439999998</v>
      </c>
      <c r="N22" s="197">
        <v>43556</v>
      </c>
      <c r="O22" s="16">
        <v>45383</v>
      </c>
      <c r="P22" s="13">
        <v>2396000</v>
      </c>
      <c r="Q22" s="242" t="e">
        <v>#VALUE!</v>
      </c>
    </row>
    <row r="23" spans="1:17" x14ac:dyDescent="0.2">
      <c r="A23" s="4" t="s">
        <v>16</v>
      </c>
      <c r="B23" s="13">
        <v>104394118</v>
      </c>
      <c r="C23" s="13">
        <v>95077625.790000007</v>
      </c>
      <c r="D23" s="13">
        <v>9316492.2099999934</v>
      </c>
      <c r="E23" s="13">
        <v>2733257.04</v>
      </c>
      <c r="F23" s="13">
        <v>2677355</v>
      </c>
      <c r="G23" s="14">
        <v>3.48</v>
      </c>
      <c r="H23" s="14">
        <v>1.02</v>
      </c>
      <c r="I23" s="13">
        <v>227771.42</v>
      </c>
      <c r="J23" s="15">
        <v>4</v>
      </c>
      <c r="K23" s="13">
        <v>8405406.5299999937</v>
      </c>
      <c r="L23" s="13">
        <v>990445.55249999836</v>
      </c>
      <c r="M23" s="13">
        <v>655776.17749999836</v>
      </c>
      <c r="N23" s="197">
        <v>43647</v>
      </c>
      <c r="O23" s="16">
        <v>45474</v>
      </c>
      <c r="P23" s="13">
        <v>258941.86</v>
      </c>
      <c r="Q23" s="242" t="e">
        <v>#VALUE!</v>
      </c>
    </row>
    <row r="24" spans="1:17" x14ac:dyDescent="0.2">
      <c r="A24" s="4" t="s">
        <v>33</v>
      </c>
      <c r="B24" s="13">
        <v>314446387.48000002</v>
      </c>
      <c r="C24" s="13">
        <v>286183651.98000002</v>
      </c>
      <c r="D24" s="13">
        <v>28262735.5</v>
      </c>
      <c r="E24" s="13">
        <v>6913202.79</v>
      </c>
      <c r="F24" s="13">
        <v>8369791</v>
      </c>
      <c r="G24" s="14">
        <v>3.38</v>
      </c>
      <c r="H24" s="14">
        <v>0.83</v>
      </c>
      <c r="I24" s="13">
        <v>576100.23250000004</v>
      </c>
      <c r="J24" s="15">
        <v>4</v>
      </c>
      <c r="K24" s="13">
        <v>25958334.57</v>
      </c>
      <c r="L24" s="13">
        <v>2880788.375</v>
      </c>
      <c r="M24" s="13">
        <v>1834564.5</v>
      </c>
      <c r="N24" s="197">
        <v>43647</v>
      </c>
      <c r="O24" s="16">
        <v>45474</v>
      </c>
      <c r="P24" s="13">
        <v>618771.1</v>
      </c>
      <c r="Q24" s="242" t="e">
        <v>#VALUE!</v>
      </c>
    </row>
    <row r="25" spans="1:17" x14ac:dyDescent="0.2">
      <c r="A25" s="4" t="s">
        <v>51</v>
      </c>
      <c r="B25" s="13">
        <v>2001064841.29</v>
      </c>
      <c r="C25" s="13">
        <v>1866478805.8699999</v>
      </c>
      <c r="D25" s="13">
        <v>134586035.42000008</v>
      </c>
      <c r="E25" s="13">
        <v>38374732.420000002</v>
      </c>
      <c r="F25" s="13">
        <v>40779947</v>
      </c>
      <c r="G25" s="14">
        <v>3.3</v>
      </c>
      <c r="H25" s="14">
        <v>0.94</v>
      </c>
      <c r="I25" s="13">
        <v>3197894.3683333336</v>
      </c>
      <c r="J25" s="15">
        <v>-2</v>
      </c>
      <c r="K25" s="13" t="s">
        <v>193</v>
      </c>
      <c r="L25" s="13" t="s">
        <v>193</v>
      </c>
      <c r="M25" s="13" t="s">
        <v>193</v>
      </c>
      <c r="N25" s="197">
        <v>43831</v>
      </c>
      <c r="O25" s="16">
        <v>45292</v>
      </c>
      <c r="P25" s="13">
        <v>3691789.99</v>
      </c>
      <c r="Q25" s="242" t="e">
        <v>#VALUE!</v>
      </c>
    </row>
    <row r="26" spans="1:17" x14ac:dyDescent="0.2">
      <c r="A26" s="4" t="s">
        <v>28</v>
      </c>
      <c r="B26" s="13">
        <v>1059732308</v>
      </c>
      <c r="C26" s="13">
        <v>980768016.5</v>
      </c>
      <c r="D26" s="13">
        <v>78964291.5</v>
      </c>
      <c r="E26" s="13">
        <v>15970820.060000001</v>
      </c>
      <c r="F26" s="13">
        <v>24168777</v>
      </c>
      <c r="G26" s="14">
        <v>3.27</v>
      </c>
      <c r="H26" s="14">
        <v>0.66</v>
      </c>
      <c r="I26" s="13">
        <v>1330901.6716666666</v>
      </c>
      <c r="J26" s="15">
        <v>-2</v>
      </c>
      <c r="K26" s="13" t="s">
        <v>193</v>
      </c>
      <c r="L26" s="13" t="s">
        <v>193</v>
      </c>
      <c r="M26" s="13" t="s">
        <v>193</v>
      </c>
      <c r="N26" s="197">
        <v>43831</v>
      </c>
      <c r="O26" s="16">
        <v>45292</v>
      </c>
      <c r="P26" s="13">
        <v>1751273.87</v>
      </c>
      <c r="Q26" s="242" t="e">
        <v>#VALUE!</v>
      </c>
    </row>
    <row r="27" spans="1:17" x14ac:dyDescent="0.2">
      <c r="A27" s="4" t="s">
        <v>24</v>
      </c>
      <c r="B27" s="13">
        <v>1642297566.0699999</v>
      </c>
      <c r="C27" s="13">
        <v>1511413217.8099999</v>
      </c>
      <c r="D27" s="13">
        <v>130884348.25999999</v>
      </c>
      <c r="E27" s="13">
        <v>37641436.670000002</v>
      </c>
      <c r="F27" s="13">
        <v>40984884</v>
      </c>
      <c r="G27" s="14">
        <v>3.19</v>
      </c>
      <c r="H27" s="14">
        <v>0.92</v>
      </c>
      <c r="I27" s="13">
        <v>3136786.3891666667</v>
      </c>
      <c r="J27" s="15">
        <v>4</v>
      </c>
      <c r="K27" s="13">
        <v>118337202.70333332</v>
      </c>
      <c r="L27" s="13">
        <v>12228645.064999998</v>
      </c>
      <c r="M27" s="13">
        <v>7105534.5649999976</v>
      </c>
      <c r="N27" s="197">
        <v>43647</v>
      </c>
      <c r="O27" s="16">
        <v>45474</v>
      </c>
      <c r="P27" s="13">
        <v>2802355.27</v>
      </c>
      <c r="Q27" s="242" t="e">
        <v>#VALUE!</v>
      </c>
    </row>
    <row r="28" spans="1:17" x14ac:dyDescent="0.2">
      <c r="A28" s="4" t="s">
        <v>45</v>
      </c>
      <c r="B28" s="13">
        <v>1228777673.53</v>
      </c>
      <c r="C28" s="13">
        <v>1077279317.4000001</v>
      </c>
      <c r="D28" s="13">
        <v>151498356.12999988</v>
      </c>
      <c r="E28" s="13">
        <v>62360129.920000002</v>
      </c>
      <c r="F28" s="13">
        <v>47456120</v>
      </c>
      <c r="G28" s="14">
        <v>3.19</v>
      </c>
      <c r="H28" s="14">
        <v>1.31</v>
      </c>
      <c r="I28" s="13">
        <v>5196677.4933333332</v>
      </c>
      <c r="J28" s="15">
        <v>-2</v>
      </c>
      <c r="K28" s="13" t="s">
        <v>193</v>
      </c>
      <c r="L28" s="13" t="s">
        <v>193</v>
      </c>
      <c r="M28" s="13" t="s">
        <v>193</v>
      </c>
      <c r="N28" s="197">
        <v>43831</v>
      </c>
      <c r="O28" s="16">
        <v>45292</v>
      </c>
      <c r="P28" s="13">
        <v>4186070.82</v>
      </c>
      <c r="Q28" s="242" t="e">
        <v>#VALUE!</v>
      </c>
    </row>
    <row r="29" spans="1:17" x14ac:dyDescent="0.2">
      <c r="A29" s="4" t="s">
        <v>21</v>
      </c>
      <c r="B29" s="13">
        <v>528328839.02999997</v>
      </c>
      <c r="C29" s="13">
        <v>485018360.06</v>
      </c>
      <c r="D29" s="13">
        <v>43310478.969999969</v>
      </c>
      <c r="E29" s="13">
        <v>16537762.460000001</v>
      </c>
      <c r="F29" s="13">
        <v>13880022</v>
      </c>
      <c r="G29" s="14">
        <v>3.12</v>
      </c>
      <c r="H29" s="14">
        <v>1.19</v>
      </c>
      <c r="I29" s="13">
        <v>1378146.8716666668</v>
      </c>
      <c r="J29" s="15">
        <v>4</v>
      </c>
      <c r="K29" s="13">
        <v>37797891.483333305</v>
      </c>
      <c r="L29" s="13">
        <v>3887608.7424999923</v>
      </c>
      <c r="M29" s="13">
        <v>2152605.9924999923</v>
      </c>
      <c r="N29" s="197">
        <v>43647</v>
      </c>
      <c r="O29" s="16">
        <v>45474</v>
      </c>
      <c r="P29" s="13">
        <v>2874770.63</v>
      </c>
      <c r="Q29" s="242" t="e">
        <v>#VALUE!</v>
      </c>
    </row>
    <row r="30" spans="1:17" x14ac:dyDescent="0.2">
      <c r="A30" s="4" t="s">
        <v>18</v>
      </c>
      <c r="B30" s="13">
        <v>782983569.92999995</v>
      </c>
      <c r="C30" s="13">
        <v>729270721.75</v>
      </c>
      <c r="D30" s="13">
        <v>53712848.179999948</v>
      </c>
      <c r="E30" s="13">
        <v>18878314.600000001</v>
      </c>
      <c r="F30" s="13">
        <v>17807834</v>
      </c>
      <c r="G30" s="14">
        <v>3.02</v>
      </c>
      <c r="H30" s="14">
        <v>1.06</v>
      </c>
      <c r="I30" s="13">
        <v>1573192.8833333335</v>
      </c>
      <c r="J30" s="15">
        <v>4</v>
      </c>
      <c r="K30" s="13">
        <v>47420076.646666616</v>
      </c>
      <c r="L30" s="13">
        <v>4524295.0449999869</v>
      </c>
      <c r="M30" s="13">
        <v>2298315.7949999869</v>
      </c>
      <c r="N30" s="197">
        <v>43647</v>
      </c>
      <c r="O30" s="16">
        <v>45474</v>
      </c>
      <c r="P30" s="13">
        <v>1319975.8700000001</v>
      </c>
      <c r="Q30" s="242" t="e">
        <v>#VALUE!</v>
      </c>
    </row>
    <row r="31" spans="1:17" x14ac:dyDescent="0.2">
      <c r="A31" s="4" t="s">
        <v>29</v>
      </c>
      <c r="B31" s="13">
        <v>675052951</v>
      </c>
      <c r="C31" s="13">
        <v>630499696.66999996</v>
      </c>
      <c r="D31" s="13">
        <v>44553254.330000043</v>
      </c>
      <c r="E31" s="13">
        <v>11552280.539999999</v>
      </c>
      <c r="F31" s="13">
        <v>14786581</v>
      </c>
      <c r="G31" s="14">
        <v>3.01</v>
      </c>
      <c r="H31" s="14">
        <v>0.78</v>
      </c>
      <c r="I31" s="13">
        <v>962690.04499999993</v>
      </c>
      <c r="J31" s="15">
        <v>-2</v>
      </c>
      <c r="K31" s="13" t="s">
        <v>193</v>
      </c>
      <c r="L31" s="13" t="s">
        <v>193</v>
      </c>
      <c r="M31" s="13" t="s">
        <v>193</v>
      </c>
      <c r="N31" s="197">
        <v>43466</v>
      </c>
      <c r="O31" s="16">
        <v>45292</v>
      </c>
      <c r="P31" s="13">
        <v>799933.11</v>
      </c>
      <c r="Q31" s="242" t="e">
        <v>#VALUE!</v>
      </c>
    </row>
    <row r="32" spans="1:17" x14ac:dyDescent="0.2">
      <c r="A32" s="4" t="s">
        <v>56</v>
      </c>
      <c r="B32" s="13">
        <v>1154905413</v>
      </c>
      <c r="C32" s="13">
        <v>1074350946.1500001</v>
      </c>
      <c r="D32" s="13">
        <v>80554466.849999905</v>
      </c>
      <c r="E32" s="13">
        <v>26117962.859999999</v>
      </c>
      <c r="F32" s="13">
        <v>27571438</v>
      </c>
      <c r="G32" s="14">
        <v>2.92</v>
      </c>
      <c r="H32" s="14">
        <v>0.95</v>
      </c>
      <c r="I32" s="13">
        <v>2176496.9049999998</v>
      </c>
      <c r="J32" s="15">
        <v>4</v>
      </c>
      <c r="K32" s="13">
        <v>71848479.2299999</v>
      </c>
      <c r="L32" s="13">
        <v>6352897.7124999762</v>
      </c>
      <c r="M32" s="13">
        <v>2906467.9624999762</v>
      </c>
      <c r="N32" s="197">
        <v>43647</v>
      </c>
      <c r="O32" s="16">
        <v>45474</v>
      </c>
      <c r="P32" s="13">
        <v>2662149.85</v>
      </c>
      <c r="Q32" s="242" t="e">
        <v>#VALUE!</v>
      </c>
    </row>
    <row r="33" spans="1:17" x14ac:dyDescent="0.2">
      <c r="A33" s="4" t="s">
        <v>57</v>
      </c>
      <c r="B33" s="13">
        <v>2879313105.54</v>
      </c>
      <c r="C33" s="13">
        <v>2679077671.1300001</v>
      </c>
      <c r="D33" s="13">
        <v>200235434.40999985</v>
      </c>
      <c r="E33" s="13">
        <v>75793835.879999995</v>
      </c>
      <c r="F33" s="13">
        <v>70613641</v>
      </c>
      <c r="G33" s="14">
        <v>2.84</v>
      </c>
      <c r="H33" s="14">
        <v>1.07</v>
      </c>
      <c r="I33" s="13">
        <v>6316152.9899999993</v>
      </c>
      <c r="J33" s="15">
        <v>6</v>
      </c>
      <c r="K33" s="13">
        <v>162338516.46999985</v>
      </c>
      <c r="L33" s="13">
        <v>9834692.0683333073</v>
      </c>
      <c r="M33" s="13" t="s">
        <v>192</v>
      </c>
      <c r="N33" s="197">
        <v>44075</v>
      </c>
      <c r="O33" s="16">
        <v>45536</v>
      </c>
      <c r="P33" s="13">
        <v>6813594.8799999999</v>
      </c>
      <c r="Q33" s="242" t="e">
        <v>#VALUE!</v>
      </c>
    </row>
    <row r="34" spans="1:17" x14ac:dyDescent="0.2">
      <c r="A34" s="4" t="s">
        <v>50</v>
      </c>
      <c r="B34" s="13">
        <v>545409679.30999994</v>
      </c>
      <c r="C34" s="13">
        <v>512772225.31</v>
      </c>
      <c r="D34" s="13">
        <v>32637453.99999994</v>
      </c>
      <c r="E34" s="13">
        <v>16089318.83</v>
      </c>
      <c r="F34" s="13">
        <v>11656242</v>
      </c>
      <c r="G34" s="14">
        <v>2.8</v>
      </c>
      <c r="H34" s="14">
        <v>1.38</v>
      </c>
      <c r="I34" s="13">
        <v>1340776.5691666666</v>
      </c>
      <c r="J34" s="15">
        <v>-2</v>
      </c>
      <c r="K34" s="13" t="s">
        <v>193</v>
      </c>
      <c r="L34" s="13" t="s">
        <v>193</v>
      </c>
      <c r="M34" s="13" t="s">
        <v>193</v>
      </c>
      <c r="N34" s="197">
        <v>43831</v>
      </c>
      <c r="O34" s="16">
        <v>45292</v>
      </c>
      <c r="P34" s="13">
        <v>250068</v>
      </c>
      <c r="Q34" s="242" t="e">
        <v>#VALUE!</v>
      </c>
    </row>
    <row r="35" spans="1:17" x14ac:dyDescent="0.2">
      <c r="A35" s="4" t="s">
        <v>61</v>
      </c>
      <c r="B35" s="13">
        <v>522049097</v>
      </c>
      <c r="C35" s="13">
        <v>486250483.75</v>
      </c>
      <c r="D35" s="13">
        <v>35798613.25</v>
      </c>
      <c r="E35" s="13">
        <v>15471133.65</v>
      </c>
      <c r="F35" s="13">
        <v>13105608</v>
      </c>
      <c r="G35" s="14">
        <v>2.73</v>
      </c>
      <c r="H35" s="14">
        <v>1.18</v>
      </c>
      <c r="I35" s="13">
        <v>1289261.1375</v>
      </c>
      <c r="J35" s="15">
        <v>4</v>
      </c>
      <c r="K35" s="13">
        <v>30641568.699999999</v>
      </c>
      <c r="L35" s="13">
        <v>2396849.3125</v>
      </c>
      <c r="M35" s="13" t="s">
        <v>192</v>
      </c>
      <c r="N35" s="197">
        <v>43647</v>
      </c>
      <c r="O35" s="16">
        <v>45474</v>
      </c>
      <c r="P35" s="13">
        <v>1089928.1399999999</v>
      </c>
      <c r="Q35" s="242" t="e">
        <v>#VALUE!</v>
      </c>
    </row>
    <row r="36" spans="1:17" x14ac:dyDescent="0.2">
      <c r="A36" s="4" t="s">
        <v>34</v>
      </c>
      <c r="B36" s="13">
        <v>1394382977.99</v>
      </c>
      <c r="C36" s="13">
        <v>1299587691.8399999</v>
      </c>
      <c r="D36" s="13">
        <v>94795286.150000095</v>
      </c>
      <c r="E36" s="13">
        <v>35342721.990000002</v>
      </c>
      <c r="F36" s="13">
        <v>34869850</v>
      </c>
      <c r="G36" s="14">
        <v>2.72</v>
      </c>
      <c r="H36" s="14">
        <v>1.01</v>
      </c>
      <c r="I36" s="13">
        <v>2945226.8325</v>
      </c>
      <c r="J36" s="15">
        <v>1</v>
      </c>
      <c r="K36" s="13">
        <v>91850059.3175001</v>
      </c>
      <c r="L36" s="13">
        <v>25055586.150000095</v>
      </c>
      <c r="M36" s="13">
        <v>7620661.1500000954</v>
      </c>
      <c r="N36" s="197">
        <v>43922</v>
      </c>
      <c r="O36" s="16">
        <v>45383</v>
      </c>
      <c r="P36" s="13">
        <v>4063025.95</v>
      </c>
      <c r="Q36" s="242" t="e">
        <v>#VALUE!</v>
      </c>
    </row>
    <row r="37" spans="1:17" x14ac:dyDescent="0.2">
      <c r="A37" s="4" t="s">
        <v>42</v>
      </c>
      <c r="B37" s="13">
        <v>346058940</v>
      </c>
      <c r="C37" s="13">
        <v>320590159.11000001</v>
      </c>
      <c r="D37" s="13">
        <v>25468780.889999986</v>
      </c>
      <c r="E37" s="13">
        <v>5236865.8600000003</v>
      </c>
      <c r="F37" s="13">
        <v>9353201</v>
      </c>
      <c r="G37" s="14">
        <v>2.72</v>
      </c>
      <c r="H37" s="14">
        <v>0.56000000000000005</v>
      </c>
      <c r="I37" s="13">
        <v>436405.48833333334</v>
      </c>
      <c r="J37" s="15">
        <v>-2</v>
      </c>
      <c r="K37" s="13" t="s">
        <v>193</v>
      </c>
      <c r="L37" s="13" t="s">
        <v>193</v>
      </c>
      <c r="M37" s="13" t="s">
        <v>193</v>
      </c>
      <c r="N37" s="197">
        <v>43831</v>
      </c>
      <c r="O37" s="16">
        <v>45292</v>
      </c>
      <c r="P37" s="13">
        <v>624051.34</v>
      </c>
      <c r="Q37" s="242" t="e">
        <v>#VALUE!</v>
      </c>
    </row>
    <row r="38" spans="1:17" x14ac:dyDescent="0.2">
      <c r="A38" s="4" t="s">
        <v>59</v>
      </c>
      <c r="B38" s="13">
        <v>277600986</v>
      </c>
      <c r="C38" s="13">
        <v>257745539.59</v>
      </c>
      <c r="D38" s="13">
        <v>19855446.409999996</v>
      </c>
      <c r="E38" s="13">
        <v>7266567.5700000003</v>
      </c>
      <c r="F38" s="13">
        <v>7461397</v>
      </c>
      <c r="G38" s="14">
        <v>2.66</v>
      </c>
      <c r="H38" s="14">
        <v>0.97</v>
      </c>
      <c r="I38" s="13">
        <v>605547.29749999999</v>
      </c>
      <c r="J38" s="15">
        <v>4</v>
      </c>
      <c r="K38" s="13">
        <v>17433257.219999995</v>
      </c>
      <c r="L38" s="13">
        <v>1233163.1024999991</v>
      </c>
      <c r="M38" s="13" t="s">
        <v>192</v>
      </c>
      <c r="N38" s="197">
        <v>43647</v>
      </c>
      <c r="O38" s="16">
        <v>45474</v>
      </c>
      <c r="P38" s="13">
        <v>320422</v>
      </c>
      <c r="Q38" s="242" t="e">
        <v>#VALUE!</v>
      </c>
    </row>
    <row r="39" spans="1:17" x14ac:dyDescent="0.2">
      <c r="A39" s="4" t="s">
        <v>31</v>
      </c>
      <c r="B39" s="13">
        <v>1205115490</v>
      </c>
      <c r="C39" s="13">
        <v>1146115227.6600001</v>
      </c>
      <c r="D39" s="13">
        <v>59000262.339999914</v>
      </c>
      <c r="E39" s="13">
        <v>23563682.07</v>
      </c>
      <c r="F39" s="13">
        <v>22499042</v>
      </c>
      <c r="G39" s="14">
        <v>2.62</v>
      </c>
      <c r="H39" s="14">
        <v>1.05</v>
      </c>
      <c r="I39" s="13">
        <v>1963640.1725000001</v>
      </c>
      <c r="J39" s="15">
        <v>1</v>
      </c>
      <c r="K39" s="13">
        <v>57036622.167499915</v>
      </c>
      <c r="L39" s="13">
        <v>14002178.339999914</v>
      </c>
      <c r="M39" s="13">
        <v>2752657.3399999142</v>
      </c>
      <c r="N39" s="197">
        <v>43922</v>
      </c>
      <c r="O39" s="16">
        <v>45383</v>
      </c>
      <c r="P39" s="13">
        <v>2618408.36</v>
      </c>
      <c r="Q39" s="242" t="e">
        <v>#VALUE!</v>
      </c>
    </row>
    <row r="40" spans="1:17" x14ac:dyDescent="0.2">
      <c r="A40" s="4" t="s">
        <v>27</v>
      </c>
      <c r="B40" s="13">
        <v>1309738768.5599999</v>
      </c>
      <c r="C40" s="13">
        <v>1229679976.75</v>
      </c>
      <c r="D40" s="13">
        <v>80058791.809999943</v>
      </c>
      <c r="E40" s="13">
        <v>24041014.960000001</v>
      </c>
      <c r="F40" s="13">
        <v>30738746</v>
      </c>
      <c r="G40" s="14">
        <v>2.6</v>
      </c>
      <c r="H40" s="14">
        <v>0.78</v>
      </c>
      <c r="I40" s="13">
        <v>2003417.9133333333</v>
      </c>
      <c r="J40" s="15">
        <v>4</v>
      </c>
      <c r="K40" s="13">
        <v>72045120.156666607</v>
      </c>
      <c r="L40" s="13">
        <v>4645324.9524999857</v>
      </c>
      <c r="M40" s="13" t="s">
        <v>192</v>
      </c>
      <c r="N40" s="197">
        <v>43647</v>
      </c>
      <c r="O40" s="16">
        <v>45474</v>
      </c>
      <c r="P40" s="13">
        <v>2413513.8199999998</v>
      </c>
      <c r="Q40" s="242" t="e">
        <v>#VALUE!</v>
      </c>
    </row>
    <row r="41" spans="1:17" x14ac:dyDescent="0.2">
      <c r="A41" s="4" t="s">
        <v>38</v>
      </c>
      <c r="B41" s="13">
        <v>987264872</v>
      </c>
      <c r="C41" s="13">
        <v>927453093.33000004</v>
      </c>
      <c r="D41" s="13">
        <v>59811778.669999957</v>
      </c>
      <c r="E41" s="13">
        <v>34963414.229999997</v>
      </c>
      <c r="F41" s="13">
        <v>23383549</v>
      </c>
      <c r="G41" s="14">
        <v>2.56</v>
      </c>
      <c r="H41" s="14">
        <v>1.5</v>
      </c>
      <c r="I41" s="13">
        <v>2913617.8524999996</v>
      </c>
      <c r="J41" s="15">
        <v>1</v>
      </c>
      <c r="K41" s="13">
        <v>56898160.817499958</v>
      </c>
      <c r="L41" s="13">
        <v>13044680.669999957</v>
      </c>
      <c r="M41" s="13" t="s">
        <v>192</v>
      </c>
      <c r="N41" s="197">
        <v>43922</v>
      </c>
      <c r="O41" s="16">
        <v>45383</v>
      </c>
      <c r="P41" s="13">
        <v>2972202.62</v>
      </c>
      <c r="Q41" s="242" t="e">
        <v>#VALUE!</v>
      </c>
    </row>
    <row r="42" spans="1:17" x14ac:dyDescent="0.2">
      <c r="A42" s="4" t="s">
        <v>25</v>
      </c>
      <c r="B42" s="13">
        <v>342887810.45999998</v>
      </c>
      <c r="C42" s="13">
        <v>321952680.47000003</v>
      </c>
      <c r="D42" s="13">
        <v>20935129.98999995</v>
      </c>
      <c r="E42" s="13">
        <v>7883809.1200000001</v>
      </c>
      <c r="F42" s="13">
        <v>8236180</v>
      </c>
      <c r="G42" s="14">
        <v>2.54</v>
      </c>
      <c r="H42" s="14">
        <v>0.96</v>
      </c>
      <c r="I42" s="13">
        <v>656984.09333333338</v>
      </c>
      <c r="J42" s="15">
        <v>1</v>
      </c>
      <c r="K42" s="13">
        <v>20278145.896666616</v>
      </c>
      <c r="L42" s="13">
        <v>4462769.9899999499</v>
      </c>
      <c r="M42" s="13" t="s">
        <v>192</v>
      </c>
      <c r="N42" s="197">
        <v>43556</v>
      </c>
      <c r="O42" s="16">
        <v>45383</v>
      </c>
      <c r="P42" s="13">
        <v>1434187.49</v>
      </c>
      <c r="Q42" s="242" t="e">
        <v>#VALUE!</v>
      </c>
    </row>
    <row r="43" spans="1:17" x14ac:dyDescent="0.2">
      <c r="A43" s="4" t="s">
        <v>41</v>
      </c>
      <c r="B43" s="13">
        <v>98701064</v>
      </c>
      <c r="C43" s="13">
        <v>91612521.700000003</v>
      </c>
      <c r="D43" s="13">
        <v>7088542.299999997</v>
      </c>
      <c r="E43" s="13">
        <v>4427190.33</v>
      </c>
      <c r="F43" s="13">
        <v>2898567</v>
      </c>
      <c r="G43" s="14">
        <v>2.4500000000000002</v>
      </c>
      <c r="H43" s="14">
        <v>1.53</v>
      </c>
      <c r="I43" s="13">
        <v>368932.52750000003</v>
      </c>
      <c r="J43" s="15">
        <v>4</v>
      </c>
      <c r="K43" s="13">
        <v>5612812.1899999967</v>
      </c>
      <c r="L43" s="13" t="s">
        <v>192</v>
      </c>
      <c r="M43" s="13" t="s">
        <v>192</v>
      </c>
      <c r="N43" s="197">
        <v>43647</v>
      </c>
      <c r="O43" s="16">
        <v>45474</v>
      </c>
      <c r="P43" s="13">
        <v>344499.77</v>
      </c>
      <c r="Q43" s="242" t="e">
        <v>#VALUE!</v>
      </c>
    </row>
    <row r="44" spans="1:17" x14ac:dyDescent="0.2">
      <c r="A44" s="4" t="s">
        <v>49</v>
      </c>
      <c r="B44" s="13">
        <v>685388676.61000001</v>
      </c>
      <c r="C44" s="13">
        <v>653145293.73000002</v>
      </c>
      <c r="D44" s="13">
        <v>32243382.879999995</v>
      </c>
      <c r="E44" s="13">
        <v>14724080.33</v>
      </c>
      <c r="F44" s="13">
        <v>13963452</v>
      </c>
      <c r="G44" s="14">
        <v>2.31</v>
      </c>
      <c r="H44" s="14">
        <v>1.05</v>
      </c>
      <c r="I44" s="13">
        <v>1227006.6941666666</v>
      </c>
      <c r="J44" s="15">
        <v>1</v>
      </c>
      <c r="K44" s="13">
        <v>31016376.185833327</v>
      </c>
      <c r="L44" s="13">
        <v>4316478.8799999952</v>
      </c>
      <c r="M44" s="13" t="s">
        <v>192</v>
      </c>
      <c r="N44" s="197">
        <v>43922</v>
      </c>
      <c r="O44" s="16">
        <v>45383</v>
      </c>
      <c r="P44" s="13">
        <v>1498870.48</v>
      </c>
      <c r="Q44" s="242" t="e">
        <v>#VALUE!</v>
      </c>
    </row>
    <row r="45" spans="1:17" x14ac:dyDescent="0.2">
      <c r="A45" s="4" t="s">
        <v>48</v>
      </c>
      <c r="B45" s="13">
        <v>1940110596.77</v>
      </c>
      <c r="C45" s="13">
        <v>1840033526.55</v>
      </c>
      <c r="D45" s="13">
        <v>100077070.22000003</v>
      </c>
      <c r="E45" s="13">
        <v>40585873.299999997</v>
      </c>
      <c r="F45" s="13">
        <v>45492764</v>
      </c>
      <c r="G45" s="14">
        <v>2.2000000000000002</v>
      </c>
      <c r="H45" s="14">
        <v>0.89</v>
      </c>
      <c r="I45" s="13">
        <v>3382156.1083333329</v>
      </c>
      <c r="J45" s="15">
        <v>4</v>
      </c>
      <c r="K45" s="13">
        <v>86548445.786666691</v>
      </c>
      <c r="L45" s="13" t="s">
        <v>192</v>
      </c>
      <c r="M45" s="13" t="s">
        <v>192</v>
      </c>
      <c r="N45" s="197">
        <v>43647</v>
      </c>
      <c r="O45" s="16">
        <v>45474</v>
      </c>
      <c r="P45" s="13">
        <v>4520388.34</v>
      </c>
      <c r="Q45" s="242" t="e">
        <v>#VALUE!</v>
      </c>
    </row>
    <row r="46" spans="1:17" x14ac:dyDescent="0.2">
      <c r="A46" s="4" t="s">
        <v>37</v>
      </c>
      <c r="B46" s="13">
        <v>1215383392.1700001</v>
      </c>
      <c r="C46" s="13">
        <v>1162452613.8800001</v>
      </c>
      <c r="D46" s="13">
        <v>52930778.289999962</v>
      </c>
      <c r="E46" s="13">
        <v>18677428.329999998</v>
      </c>
      <c r="F46" s="13">
        <v>24335266</v>
      </c>
      <c r="G46" s="14">
        <v>2.1800000000000002</v>
      </c>
      <c r="H46" s="14">
        <v>0.77</v>
      </c>
      <c r="I46" s="13">
        <v>1556452.3608333331</v>
      </c>
      <c r="J46" s="15">
        <v>4</v>
      </c>
      <c r="K46" s="13">
        <v>46704968.846666627</v>
      </c>
      <c r="L46" s="13" t="s">
        <v>192</v>
      </c>
      <c r="M46" s="13" t="s">
        <v>192</v>
      </c>
      <c r="N46" s="197">
        <v>43647</v>
      </c>
      <c r="O46" s="16">
        <v>45474</v>
      </c>
      <c r="P46" s="13">
        <v>2533520.7999999998</v>
      </c>
      <c r="Q46" s="242" t="e">
        <v>#VALUE!</v>
      </c>
    </row>
    <row r="47" spans="1:17" x14ac:dyDescent="0.2">
      <c r="A47" s="4" t="s">
        <v>32</v>
      </c>
      <c r="B47" s="13">
        <v>497245980</v>
      </c>
      <c r="C47" s="13">
        <v>471643857.25999999</v>
      </c>
      <c r="D47" s="13">
        <v>25602122.74000001</v>
      </c>
      <c r="E47" s="13">
        <v>11051741.32</v>
      </c>
      <c r="F47" s="13">
        <v>11808636</v>
      </c>
      <c r="G47" s="14">
        <v>2.17</v>
      </c>
      <c r="H47" s="14">
        <v>0.94</v>
      </c>
      <c r="I47" s="13">
        <v>920978.44333333336</v>
      </c>
      <c r="J47" s="15">
        <v>-2</v>
      </c>
      <c r="K47" s="13" t="s">
        <v>193</v>
      </c>
      <c r="L47" s="13" t="s">
        <v>193</v>
      </c>
      <c r="M47" s="13" t="s">
        <v>193</v>
      </c>
      <c r="N47" s="197">
        <v>43831</v>
      </c>
      <c r="O47" s="16">
        <v>45292</v>
      </c>
      <c r="P47" s="13">
        <v>746571.42</v>
      </c>
      <c r="Q47" s="242" t="e">
        <v>#VALUE!</v>
      </c>
    </row>
    <row r="48" spans="1:17" x14ac:dyDescent="0.2">
      <c r="A48" s="4" t="s">
        <v>17</v>
      </c>
      <c r="B48" s="13">
        <v>389160034</v>
      </c>
      <c r="C48" s="13">
        <v>367263396.80000001</v>
      </c>
      <c r="D48" s="13">
        <v>21896637.199999988</v>
      </c>
      <c r="E48" s="13">
        <v>9735579.5399999991</v>
      </c>
      <c r="F48" s="13">
        <v>10126728</v>
      </c>
      <c r="G48" s="14">
        <v>2.16</v>
      </c>
      <c r="H48" s="14">
        <v>0.96</v>
      </c>
      <c r="I48" s="13">
        <v>811298.29499999993</v>
      </c>
      <c r="J48" s="15">
        <v>4</v>
      </c>
      <c r="K48" s="13">
        <v>18651444.019999988</v>
      </c>
      <c r="L48" s="13" t="s">
        <v>192</v>
      </c>
      <c r="M48" s="13" t="s">
        <v>192</v>
      </c>
      <c r="N48" s="197">
        <v>43647</v>
      </c>
      <c r="O48" s="16">
        <v>45474</v>
      </c>
      <c r="P48" s="13">
        <v>726783.61</v>
      </c>
      <c r="Q48" s="242" t="e">
        <v>#VALUE!</v>
      </c>
    </row>
    <row r="49" spans="1:17" x14ac:dyDescent="0.2">
      <c r="A49" s="4" t="s">
        <v>63</v>
      </c>
      <c r="B49" s="13">
        <v>1082941284</v>
      </c>
      <c r="C49" s="13">
        <v>1024839789.48</v>
      </c>
      <c r="D49" s="13">
        <v>58101494.519999981</v>
      </c>
      <c r="E49" s="13">
        <v>27020741.170000002</v>
      </c>
      <c r="F49" s="13">
        <v>27168342</v>
      </c>
      <c r="G49" s="14">
        <v>2.14</v>
      </c>
      <c r="H49" s="14">
        <v>0.99</v>
      </c>
      <c r="I49" s="13">
        <v>2251728.4308333336</v>
      </c>
      <c r="J49" s="15">
        <v>1</v>
      </c>
      <c r="K49" s="13">
        <v>55849766.089166649</v>
      </c>
      <c r="L49" s="13">
        <v>3764810.5199999809</v>
      </c>
      <c r="M49" s="13" t="s">
        <v>192</v>
      </c>
      <c r="N49" s="197">
        <v>43922</v>
      </c>
      <c r="O49" s="16">
        <v>45383</v>
      </c>
      <c r="P49" s="13">
        <v>1510484.14</v>
      </c>
      <c r="Q49" s="242" t="e">
        <v>#VALUE!</v>
      </c>
    </row>
    <row r="50" spans="1:17" x14ac:dyDescent="0.2">
      <c r="A50" s="4" t="s">
        <v>58</v>
      </c>
      <c r="B50" s="13">
        <v>238203233</v>
      </c>
      <c r="C50" s="13">
        <v>227977720.11000001</v>
      </c>
      <c r="D50" s="13">
        <v>10225512.889999986</v>
      </c>
      <c r="E50" s="13">
        <v>6612566.7300000004</v>
      </c>
      <c r="F50" s="13">
        <v>5501208</v>
      </c>
      <c r="G50" s="14">
        <v>1.86</v>
      </c>
      <c r="H50" s="14">
        <v>1.2</v>
      </c>
      <c r="I50" s="13">
        <v>551047.22750000004</v>
      </c>
      <c r="J50" s="15">
        <v>4</v>
      </c>
      <c r="K50" s="13">
        <v>8021323.9799999855</v>
      </c>
      <c r="L50" s="13" t="s">
        <v>192</v>
      </c>
      <c r="M50" s="13" t="s">
        <v>192</v>
      </c>
      <c r="N50" s="197">
        <v>43647</v>
      </c>
      <c r="O50" s="16">
        <v>45474</v>
      </c>
      <c r="P50" s="13">
        <v>801219.64</v>
      </c>
      <c r="Q50" s="242" t="e">
        <v>#VALUE!</v>
      </c>
    </row>
    <row r="51" spans="1:17" x14ac:dyDescent="0.2">
      <c r="A51" s="4" t="s">
        <v>15</v>
      </c>
      <c r="B51" s="13">
        <v>1062416247.5</v>
      </c>
      <c r="C51" s="13">
        <v>1023759820.9400001</v>
      </c>
      <c r="D51" s="13">
        <v>38656426.559999943</v>
      </c>
      <c r="E51" s="13">
        <v>21481993.710000001</v>
      </c>
      <c r="F51" s="13">
        <v>23271036</v>
      </c>
      <c r="G51" s="14">
        <v>1.66</v>
      </c>
      <c r="H51" s="14">
        <v>0.92</v>
      </c>
      <c r="I51" s="13">
        <v>1790166.1425000001</v>
      </c>
      <c r="J51" s="15">
        <v>1</v>
      </c>
      <c r="K51" s="13">
        <v>36866260.417499945</v>
      </c>
      <c r="L51" s="13" t="s">
        <v>192</v>
      </c>
      <c r="M51" s="13" t="s">
        <v>192</v>
      </c>
      <c r="N51" s="197">
        <v>43556</v>
      </c>
      <c r="O51" s="16">
        <v>45383</v>
      </c>
      <c r="P51" s="13">
        <v>1810340.75</v>
      </c>
      <c r="Q51" s="242" t="e">
        <v>#VALUE!</v>
      </c>
    </row>
    <row r="52" spans="1:17" x14ac:dyDescent="0.2">
      <c r="A52" s="4" t="s">
        <v>22</v>
      </c>
      <c r="B52" s="13">
        <v>75470621</v>
      </c>
      <c r="C52" s="13">
        <v>71502347.450000003</v>
      </c>
      <c r="D52" s="18">
        <v>3968273.549999997</v>
      </c>
      <c r="E52" s="13">
        <v>2527328.77</v>
      </c>
      <c r="F52" s="13">
        <v>2752623</v>
      </c>
      <c r="G52" s="14">
        <v>1.44</v>
      </c>
      <c r="H52" s="14">
        <v>0.92</v>
      </c>
      <c r="I52" s="18">
        <v>210610.73083333333</v>
      </c>
      <c r="J52" s="15">
        <v>4</v>
      </c>
      <c r="K52" s="18">
        <v>3125830.6266666637</v>
      </c>
      <c r="L52" s="18" t="s">
        <v>192</v>
      </c>
      <c r="M52" s="18" t="s">
        <v>192</v>
      </c>
      <c r="N52" s="198">
        <v>43647</v>
      </c>
      <c r="O52" s="16">
        <v>45474</v>
      </c>
      <c r="P52" s="13">
        <v>84162.48</v>
      </c>
      <c r="Q52" s="242" t="e">
        <v>#VALUE!</v>
      </c>
    </row>
    <row r="53" spans="1:17" x14ac:dyDescent="0.25">
      <c r="A53" s="36" t="s">
        <v>65</v>
      </c>
      <c r="B53" s="33">
        <v>42969429629.709999</v>
      </c>
      <c r="C53" s="13">
        <v>39595272172.470001</v>
      </c>
      <c r="D53" s="33">
        <v>3374157457.2399979</v>
      </c>
      <c r="E53" s="13">
        <v>913532955.45000005</v>
      </c>
      <c r="F53" s="13">
        <v>983217035</v>
      </c>
      <c r="G53" s="14">
        <v>3.43</v>
      </c>
      <c r="H53" s="14">
        <v>0.93</v>
      </c>
      <c r="I53" s="33">
        <v>76127746.287500009</v>
      </c>
      <c r="J53" s="34"/>
      <c r="K53" s="35"/>
      <c r="L53" s="35"/>
      <c r="M53" s="35"/>
      <c r="N53" s="35"/>
      <c r="O53" s="35"/>
      <c r="P53" s="33">
        <v>85217815.099999994</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40</v>
      </c>
      <c r="H56" s="25"/>
    </row>
    <row r="57" spans="1:17" ht="27" customHeight="1" thickBot="1" x14ac:dyDescent="0.3">
      <c r="D57" s="248" t="s">
        <v>67</v>
      </c>
      <c r="E57" s="249"/>
      <c r="F57" s="249"/>
      <c r="G57" s="27"/>
      <c r="H57" s="28">
        <v>33</v>
      </c>
    </row>
  </sheetData>
  <mergeCells count="2">
    <mergeCell ref="D56:F56"/>
    <mergeCell ref="D57:F57"/>
  </mergeCells>
  <conditionalFormatting sqref="G54">
    <cfRule type="cellIs" dxfId="391" priority="13" stopIfTrue="1" operator="greaterThan">
      <formula>2.5</formula>
    </cfRule>
    <cfRule type="cellIs" dxfId="390" priority="14" stopIfTrue="1" operator="between">
      <formula>2.01</formula>
      <formula>2.5</formula>
    </cfRule>
  </conditionalFormatting>
  <conditionalFormatting sqref="H3:H53">
    <cfRule type="cellIs" dxfId="389" priority="12" stopIfTrue="1" operator="lessThan">
      <formula>1</formula>
    </cfRule>
  </conditionalFormatting>
  <conditionalFormatting sqref="G3:G53">
    <cfRule type="cellIs" dxfId="388" priority="10" stopIfTrue="1" operator="greaterThan">
      <formula>2.5</formula>
    </cfRule>
    <cfRule type="cellIs" dxfId="387" priority="11" stopIfTrue="1" operator="between">
      <formula>2.01</formula>
      <formula>2.5</formula>
    </cfRule>
  </conditionalFormatting>
  <conditionalFormatting sqref="K3:K52">
    <cfRule type="cellIs" dxfId="386" priority="8" stopIfTrue="1" operator="greaterThan">
      <formula>$F3*2.5</formula>
    </cfRule>
    <cfRule type="cellIs" dxfId="385" priority="9" stopIfTrue="1" operator="between">
      <formula>$F3*2</formula>
      <formula>$F3*2.5</formula>
    </cfRule>
  </conditionalFormatting>
  <conditionalFormatting sqref="G54">
    <cfRule type="cellIs" dxfId="384" priority="6" stopIfTrue="1" operator="greaterThan">
      <formula>2.5</formula>
    </cfRule>
    <cfRule type="cellIs" dxfId="383" priority="7" stopIfTrue="1" operator="between">
      <formula>2.01</formula>
      <formula>2.5</formula>
    </cfRule>
  </conditionalFormatting>
  <conditionalFormatting sqref="H3:H53">
    <cfRule type="cellIs" dxfId="382" priority="5" stopIfTrue="1" operator="lessThan">
      <formula>1</formula>
    </cfRule>
  </conditionalFormatting>
  <conditionalFormatting sqref="G3:G53">
    <cfRule type="cellIs" dxfId="381" priority="3" stopIfTrue="1" operator="greaterThan">
      <formula>2.5</formula>
    </cfRule>
    <cfRule type="cellIs" dxfId="380" priority="4" stopIfTrue="1" operator="between">
      <formula>2.01</formula>
      <formula>2.5</formula>
    </cfRule>
  </conditionalFormatting>
  <conditionalFormatting sqref="K3:K52">
    <cfRule type="cellIs" dxfId="379" priority="1" stopIfTrue="1" operator="greaterThan">
      <formula>$F3*2.5</formula>
    </cfRule>
    <cfRule type="cellIs" dxfId="378"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C274A-6908-44F6-A214-0ED7DF8B837C}">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268</v>
      </c>
      <c r="B1" s="196" t="s">
        <v>269</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1139975937.45</v>
      </c>
      <c r="C3" s="13">
        <v>983943222.49000001</v>
      </c>
      <c r="D3" s="13">
        <v>156032714.96000004</v>
      </c>
      <c r="E3" s="13">
        <v>12550787.960000001</v>
      </c>
      <c r="F3" s="13">
        <v>24778539</v>
      </c>
      <c r="G3" s="14">
        <v>6.3</v>
      </c>
      <c r="H3" s="14">
        <v>0.51</v>
      </c>
      <c r="I3" s="13">
        <v>1045898.9966666667</v>
      </c>
      <c r="J3" s="15">
        <v>3</v>
      </c>
      <c r="K3" s="13">
        <v>152895017.97000003</v>
      </c>
      <c r="L3" s="13">
        <v>35491878.986666679</v>
      </c>
      <c r="M3" s="13">
        <v>31362122.486666679</v>
      </c>
      <c r="N3" s="197">
        <v>43647</v>
      </c>
      <c r="O3" s="16">
        <v>45474</v>
      </c>
      <c r="P3" s="13">
        <v>908378.79</v>
      </c>
      <c r="Q3" s="243" t="e">
        <v>#VALUE!</v>
      </c>
    </row>
    <row r="4" spans="1:17" x14ac:dyDescent="0.2">
      <c r="A4" s="4" t="s">
        <v>46</v>
      </c>
      <c r="B4" s="13">
        <v>1788595890.3599999</v>
      </c>
      <c r="C4" s="13">
        <v>1533991306.8</v>
      </c>
      <c r="D4" s="13">
        <v>254604583.55999994</v>
      </c>
      <c r="E4" s="13">
        <v>36177711.850000001</v>
      </c>
      <c r="F4" s="13">
        <v>46272979</v>
      </c>
      <c r="G4" s="14">
        <v>5.5</v>
      </c>
      <c r="H4" s="14">
        <v>0.78</v>
      </c>
      <c r="I4" s="13">
        <v>3014809.3208333333</v>
      </c>
      <c r="J4" s="15">
        <v>9</v>
      </c>
      <c r="K4" s="13">
        <v>227471299.67249995</v>
      </c>
      <c r="L4" s="13">
        <v>18006513.951111104</v>
      </c>
      <c r="M4" s="13">
        <v>15435792.895555548</v>
      </c>
      <c r="N4" s="197">
        <v>43831</v>
      </c>
      <c r="O4" s="16">
        <v>45658</v>
      </c>
      <c r="P4" s="13">
        <v>4312173.63</v>
      </c>
      <c r="Q4" s="242" t="e">
        <v>#VALUE!</v>
      </c>
    </row>
    <row r="5" spans="1:17" x14ac:dyDescent="0.2">
      <c r="A5" s="4" t="s">
        <v>62</v>
      </c>
      <c r="B5" s="13">
        <v>708696383.32000005</v>
      </c>
      <c r="C5" s="13">
        <v>632634127.89999998</v>
      </c>
      <c r="D5" s="13">
        <v>76062255.420000076</v>
      </c>
      <c r="E5" s="13">
        <v>12776851.34</v>
      </c>
      <c r="F5" s="13">
        <v>13833071</v>
      </c>
      <c r="G5" s="14">
        <v>5.5</v>
      </c>
      <c r="H5" s="14">
        <v>0.92</v>
      </c>
      <c r="I5" s="13">
        <v>1064737.6116666666</v>
      </c>
      <c r="J5" s="15">
        <v>3</v>
      </c>
      <c r="K5" s="13">
        <v>72868042.585000083</v>
      </c>
      <c r="L5" s="13">
        <v>16132037.806666693</v>
      </c>
      <c r="M5" s="13">
        <v>13826525.973333359</v>
      </c>
      <c r="N5" s="197">
        <v>43647</v>
      </c>
      <c r="O5" s="16">
        <v>45474</v>
      </c>
      <c r="P5" s="13">
        <v>1319619.79</v>
      </c>
      <c r="Q5" s="242" t="e">
        <v>#VALUE!</v>
      </c>
    </row>
    <row r="6" spans="1:17" x14ac:dyDescent="0.2">
      <c r="A6" s="4" t="s">
        <v>35</v>
      </c>
      <c r="B6" s="13">
        <v>1469242870.97</v>
      </c>
      <c r="C6" s="13">
        <v>1294983755.0999999</v>
      </c>
      <c r="D6" s="13">
        <v>174259115.87000012</v>
      </c>
      <c r="E6" s="13">
        <v>22897367.93</v>
      </c>
      <c r="F6" s="13">
        <v>33073641</v>
      </c>
      <c r="G6" s="14">
        <v>5.27</v>
      </c>
      <c r="H6" s="14">
        <v>0.69</v>
      </c>
      <c r="I6" s="13">
        <v>1908113.9941666666</v>
      </c>
      <c r="J6" s="15">
        <v>3</v>
      </c>
      <c r="K6" s="13">
        <v>168534773.88750014</v>
      </c>
      <c r="L6" s="13">
        <v>36037277.956666708</v>
      </c>
      <c r="M6" s="13">
        <v>30525004.456666708</v>
      </c>
      <c r="N6" s="197">
        <v>43647</v>
      </c>
      <c r="O6" s="16">
        <v>45474</v>
      </c>
      <c r="P6" s="13">
        <v>1530712.14</v>
      </c>
      <c r="Q6" s="242" t="e">
        <v>#VALUE!</v>
      </c>
    </row>
    <row r="7" spans="1:17" x14ac:dyDescent="0.2">
      <c r="A7" s="4" t="s">
        <v>26</v>
      </c>
      <c r="B7" s="13">
        <v>1336273473.74</v>
      </c>
      <c r="C7" s="13">
        <v>1186649196.1700001</v>
      </c>
      <c r="D7" s="13">
        <v>149624277.56999993</v>
      </c>
      <c r="E7" s="13">
        <v>17653909.379999999</v>
      </c>
      <c r="F7" s="13">
        <v>29074134</v>
      </c>
      <c r="G7" s="14">
        <v>5.15</v>
      </c>
      <c r="H7" s="14">
        <v>0.61</v>
      </c>
      <c r="I7" s="13">
        <v>1471159.115</v>
      </c>
      <c r="J7" s="15">
        <v>9</v>
      </c>
      <c r="K7" s="13">
        <v>136383845.53499994</v>
      </c>
      <c r="L7" s="13">
        <v>10164001.063333325</v>
      </c>
      <c r="M7" s="13">
        <v>8548771.396666659</v>
      </c>
      <c r="N7" s="197">
        <v>43831</v>
      </c>
      <c r="O7" s="16">
        <v>45658</v>
      </c>
      <c r="P7" s="13">
        <v>2367929.25</v>
      </c>
      <c r="Q7" s="242" t="e">
        <v>#VALUE!</v>
      </c>
    </row>
    <row r="8" spans="1:17" x14ac:dyDescent="0.2">
      <c r="A8" s="4" t="s">
        <v>64</v>
      </c>
      <c r="B8" s="13">
        <v>120899760.39</v>
      </c>
      <c r="C8" s="13">
        <v>104394870.11</v>
      </c>
      <c r="D8" s="13">
        <v>16504890.280000001</v>
      </c>
      <c r="E8" s="13">
        <v>1734856.32</v>
      </c>
      <c r="F8" s="13">
        <v>3521015</v>
      </c>
      <c r="G8" s="14">
        <v>4.6900000000000004</v>
      </c>
      <c r="H8" s="14">
        <v>0.49</v>
      </c>
      <c r="I8" s="13">
        <v>144571.36000000002</v>
      </c>
      <c r="J8" s="15">
        <v>9</v>
      </c>
      <c r="K8" s="13">
        <v>15203748.040000001</v>
      </c>
      <c r="L8" s="13">
        <v>1051428.9200000002</v>
      </c>
      <c r="M8" s="13">
        <v>855816.97555555566</v>
      </c>
      <c r="N8" s="197">
        <v>43831</v>
      </c>
      <c r="O8" s="16">
        <v>45658</v>
      </c>
      <c r="P8" s="13">
        <v>19146.12</v>
      </c>
      <c r="Q8" s="242" t="e">
        <v>#VALUE!</v>
      </c>
    </row>
    <row r="9" spans="1:17" x14ac:dyDescent="0.2">
      <c r="A9" s="4" t="s">
        <v>44</v>
      </c>
      <c r="B9" s="13">
        <v>493558716</v>
      </c>
      <c r="C9" s="13">
        <v>445737803.64999998</v>
      </c>
      <c r="D9" s="13">
        <v>47820912.350000024</v>
      </c>
      <c r="E9" s="13">
        <v>7447571.5700000003</v>
      </c>
      <c r="F9" s="13">
        <v>11038481</v>
      </c>
      <c r="G9" s="14">
        <v>4.33</v>
      </c>
      <c r="H9" s="14">
        <v>0.67</v>
      </c>
      <c r="I9" s="13">
        <v>620630.96416666673</v>
      </c>
      <c r="J9" s="15">
        <v>9</v>
      </c>
      <c r="K9" s="13">
        <v>42235233.672500022</v>
      </c>
      <c r="L9" s="13">
        <v>2860438.9277777802</v>
      </c>
      <c r="M9" s="13">
        <v>2247189.9833333362</v>
      </c>
      <c r="N9" s="197">
        <v>43831</v>
      </c>
      <c r="O9" s="16">
        <v>45658</v>
      </c>
      <c r="P9" s="13">
        <v>1626994.6</v>
      </c>
      <c r="Q9" s="242" t="e">
        <v>#VALUE!</v>
      </c>
    </row>
    <row r="10" spans="1:17" x14ac:dyDescent="0.2">
      <c r="A10" s="4" t="s">
        <v>39</v>
      </c>
      <c r="B10" s="13">
        <v>265120500</v>
      </c>
      <c r="C10" s="13">
        <v>239025001.03</v>
      </c>
      <c r="D10" s="13">
        <v>26095498.969999999</v>
      </c>
      <c r="E10" s="13">
        <v>8403165.1099999994</v>
      </c>
      <c r="F10" s="13">
        <v>6172506</v>
      </c>
      <c r="G10" s="14">
        <v>4.2300000000000004</v>
      </c>
      <c r="H10" s="14">
        <v>1.36</v>
      </c>
      <c r="I10" s="13">
        <v>700263.75916666666</v>
      </c>
      <c r="J10" s="15">
        <v>0</v>
      </c>
      <c r="K10" s="13">
        <v>26095498.969999999</v>
      </c>
      <c r="L10" s="13" t="s">
        <v>193</v>
      </c>
      <c r="M10" s="13" t="s">
        <v>193</v>
      </c>
      <c r="N10" s="197">
        <v>43922</v>
      </c>
      <c r="O10" s="16">
        <v>45383</v>
      </c>
      <c r="P10" s="13">
        <v>1454144.98</v>
      </c>
      <c r="Q10" s="242" t="e">
        <v>#VALUE!</v>
      </c>
    </row>
    <row r="11" spans="1:17" x14ac:dyDescent="0.2">
      <c r="A11" s="4" t="s">
        <v>53</v>
      </c>
      <c r="B11" s="13">
        <v>203184695.25999999</v>
      </c>
      <c r="C11" s="13">
        <v>179272257.09</v>
      </c>
      <c r="D11" s="13">
        <v>23912438.169999987</v>
      </c>
      <c r="E11" s="13">
        <v>5819624.7300000004</v>
      </c>
      <c r="F11" s="13">
        <v>5655134</v>
      </c>
      <c r="G11" s="14">
        <v>4.2300000000000004</v>
      </c>
      <c r="H11" s="14">
        <v>1.03</v>
      </c>
      <c r="I11" s="13">
        <v>484968.72750000004</v>
      </c>
      <c r="J11" s="15">
        <v>3</v>
      </c>
      <c r="K11" s="13">
        <v>22457531.987499986</v>
      </c>
      <c r="L11" s="13">
        <v>4200723.3899999959</v>
      </c>
      <c r="M11" s="13">
        <v>3258201.0566666625</v>
      </c>
      <c r="N11" s="197">
        <v>43647</v>
      </c>
      <c r="O11" s="16">
        <v>45474</v>
      </c>
      <c r="P11" s="13">
        <v>3382666.73</v>
      </c>
      <c r="Q11" s="242" t="e">
        <v>#VALUE!</v>
      </c>
    </row>
    <row r="12" spans="1:17" x14ac:dyDescent="0.2">
      <c r="A12" s="4" t="s">
        <v>52</v>
      </c>
      <c r="B12" s="13">
        <v>1945106991</v>
      </c>
      <c r="C12" s="13">
        <v>1851871055.6600001</v>
      </c>
      <c r="D12" s="13">
        <v>93235935.339999914</v>
      </c>
      <c r="E12" s="13">
        <v>20297038.960000001</v>
      </c>
      <c r="F12" s="13">
        <v>22131554</v>
      </c>
      <c r="G12" s="14">
        <v>4.21</v>
      </c>
      <c r="H12" s="14">
        <v>0.92</v>
      </c>
      <c r="I12" s="13">
        <v>1691419.9133333333</v>
      </c>
      <c r="J12" s="15">
        <v>3</v>
      </c>
      <c r="K12" s="13">
        <v>88161675.59999992</v>
      </c>
      <c r="L12" s="13">
        <v>16324275.779999971</v>
      </c>
      <c r="M12" s="13">
        <v>12635683.446666637</v>
      </c>
      <c r="N12" s="197">
        <v>43647</v>
      </c>
      <c r="O12" s="16">
        <v>45474</v>
      </c>
      <c r="P12" s="13">
        <v>1094480.56</v>
      </c>
      <c r="Q12" s="242" t="e">
        <v>#VALUE!</v>
      </c>
    </row>
    <row r="13" spans="1:17" x14ac:dyDescent="0.2">
      <c r="A13" s="4" t="s">
        <v>47</v>
      </c>
      <c r="B13" s="13">
        <v>187480557</v>
      </c>
      <c r="C13" s="13">
        <v>172742473.06</v>
      </c>
      <c r="D13" s="13">
        <v>14738083.939999998</v>
      </c>
      <c r="E13" s="13">
        <v>2644509.11</v>
      </c>
      <c r="F13" s="13">
        <v>3515583</v>
      </c>
      <c r="G13" s="14">
        <v>4.1900000000000004</v>
      </c>
      <c r="H13" s="14">
        <v>0.75</v>
      </c>
      <c r="I13" s="13">
        <v>220375.75916666666</v>
      </c>
      <c r="J13" s="15">
        <v>3</v>
      </c>
      <c r="K13" s="13">
        <v>14076956.662499998</v>
      </c>
      <c r="L13" s="13">
        <v>2568972.646666666</v>
      </c>
      <c r="M13" s="13">
        <v>1983042.1466666658</v>
      </c>
      <c r="N13" s="197">
        <v>43647</v>
      </c>
      <c r="O13" s="16">
        <v>45474</v>
      </c>
      <c r="P13" s="13">
        <v>382090.83</v>
      </c>
      <c r="Q13" s="242" t="e">
        <v>#VALUE!</v>
      </c>
    </row>
    <row r="14" spans="1:17" x14ac:dyDescent="0.2">
      <c r="A14" s="4" t="s">
        <v>36</v>
      </c>
      <c r="B14" s="13">
        <v>853256279</v>
      </c>
      <c r="C14" s="13">
        <v>774755941.14999998</v>
      </c>
      <c r="D14" s="13">
        <v>78500337.850000024</v>
      </c>
      <c r="E14" s="13">
        <v>17887753.010000002</v>
      </c>
      <c r="F14" s="13">
        <v>18836467</v>
      </c>
      <c r="G14" s="14">
        <v>4.17</v>
      </c>
      <c r="H14" s="14">
        <v>0.95</v>
      </c>
      <c r="I14" s="13">
        <v>1490646.0841666667</v>
      </c>
      <c r="J14" s="15">
        <v>6</v>
      </c>
      <c r="K14" s="13">
        <v>69556461.345000029</v>
      </c>
      <c r="L14" s="13">
        <v>6804567.3083333373</v>
      </c>
      <c r="M14" s="13">
        <v>5234861.7250000043</v>
      </c>
      <c r="N14" s="197">
        <v>43739</v>
      </c>
      <c r="O14" s="16">
        <v>45566</v>
      </c>
      <c r="P14" s="13">
        <v>964962.11</v>
      </c>
      <c r="Q14" s="242" t="e">
        <v>#VALUE!</v>
      </c>
    </row>
    <row r="15" spans="1:17" x14ac:dyDescent="0.2">
      <c r="A15" s="4" t="s">
        <v>30</v>
      </c>
      <c r="B15" s="13">
        <v>1168142277.4400001</v>
      </c>
      <c r="C15" s="13">
        <v>1059918766.79</v>
      </c>
      <c r="D15" s="13">
        <v>108223510.6500001</v>
      </c>
      <c r="E15" s="13">
        <v>20407920.800000001</v>
      </c>
      <c r="F15" s="13">
        <v>26355588</v>
      </c>
      <c r="G15" s="14">
        <v>4.1100000000000003</v>
      </c>
      <c r="H15" s="14">
        <v>0.77</v>
      </c>
      <c r="I15" s="13">
        <v>1700660.0666666667</v>
      </c>
      <c r="J15" s="15">
        <v>3</v>
      </c>
      <c r="K15" s="13">
        <v>103121530.45000009</v>
      </c>
      <c r="L15" s="13">
        <v>18504111.550000031</v>
      </c>
      <c r="M15" s="13">
        <v>14111513.550000032</v>
      </c>
      <c r="N15" s="197">
        <v>43647</v>
      </c>
      <c r="O15" s="16">
        <v>45474</v>
      </c>
      <c r="P15" s="13">
        <v>970239.53</v>
      </c>
      <c r="Q15" s="242" t="e">
        <v>#VALUE!</v>
      </c>
    </row>
    <row r="16" spans="1:17" x14ac:dyDescent="0.2">
      <c r="A16" s="4" t="s">
        <v>19</v>
      </c>
      <c r="B16" s="13">
        <v>1438428739.9100001</v>
      </c>
      <c r="C16" s="13">
        <v>1317029817.3299999</v>
      </c>
      <c r="D16" s="13">
        <v>121398922.58000016</v>
      </c>
      <c r="E16" s="13">
        <v>24030535.219999999</v>
      </c>
      <c r="F16" s="13">
        <v>30065955</v>
      </c>
      <c r="G16" s="14">
        <v>4.04</v>
      </c>
      <c r="H16" s="14">
        <v>0.8</v>
      </c>
      <c r="I16" s="13">
        <v>2002544.6016666666</v>
      </c>
      <c r="J16" s="15">
        <v>3</v>
      </c>
      <c r="K16" s="13">
        <v>115391288.77500015</v>
      </c>
      <c r="L16" s="13">
        <v>20422337.526666719</v>
      </c>
      <c r="M16" s="13">
        <v>15411345.026666721</v>
      </c>
      <c r="N16" s="197">
        <v>43647</v>
      </c>
      <c r="O16" s="16">
        <v>45474</v>
      </c>
      <c r="P16" s="13">
        <v>1095234.04</v>
      </c>
      <c r="Q16" s="242" t="e">
        <v>#VALUE!</v>
      </c>
    </row>
    <row r="17" spans="1:17" x14ac:dyDescent="0.2">
      <c r="A17" s="4" t="s">
        <v>18</v>
      </c>
      <c r="B17" s="13">
        <v>800464324.92999995</v>
      </c>
      <c r="C17" s="13">
        <v>730853779.05999994</v>
      </c>
      <c r="D17" s="13">
        <v>69610545.870000005</v>
      </c>
      <c r="E17" s="13">
        <v>19414314.969999999</v>
      </c>
      <c r="F17" s="13">
        <v>17480755</v>
      </c>
      <c r="G17" s="14">
        <v>3.98</v>
      </c>
      <c r="H17" s="14">
        <v>1.1100000000000001</v>
      </c>
      <c r="I17" s="13">
        <v>1617859.5808333333</v>
      </c>
      <c r="J17" s="15">
        <v>3</v>
      </c>
      <c r="K17" s="13">
        <v>64756967.127500005</v>
      </c>
      <c r="L17" s="13">
        <v>11549678.623333335</v>
      </c>
      <c r="M17" s="13">
        <v>8636219.4566666689</v>
      </c>
      <c r="N17" s="197">
        <v>43647</v>
      </c>
      <c r="O17" s="16">
        <v>45474</v>
      </c>
      <c r="P17" s="13">
        <v>1583057.31</v>
      </c>
      <c r="Q17" s="242" t="e">
        <v>#VALUE!</v>
      </c>
    </row>
    <row r="18" spans="1:17" x14ac:dyDescent="0.2">
      <c r="A18" s="4" t="s">
        <v>60</v>
      </c>
      <c r="B18" s="13">
        <v>794219275</v>
      </c>
      <c r="C18" s="13">
        <v>719106342.25</v>
      </c>
      <c r="D18" s="13">
        <v>75112932.75</v>
      </c>
      <c r="E18" s="13">
        <v>14651672.050000001</v>
      </c>
      <c r="F18" s="13">
        <v>19107637</v>
      </c>
      <c r="G18" s="14">
        <v>3.93</v>
      </c>
      <c r="H18" s="14">
        <v>0.77</v>
      </c>
      <c r="I18" s="13">
        <v>1220972.6708333334</v>
      </c>
      <c r="J18" s="15">
        <v>3</v>
      </c>
      <c r="K18" s="13">
        <v>71450014.737499997</v>
      </c>
      <c r="L18" s="13">
        <v>12299219.583333334</v>
      </c>
      <c r="M18" s="13">
        <v>9114613.416666666</v>
      </c>
      <c r="N18" s="197">
        <v>43647</v>
      </c>
      <c r="O18" s="16">
        <v>45474</v>
      </c>
      <c r="P18" s="13">
        <v>1015766.13</v>
      </c>
      <c r="Q18" s="242" t="e">
        <v>#VALUE!</v>
      </c>
    </row>
    <row r="19" spans="1:17" x14ac:dyDescent="0.2">
      <c r="A19" s="4" t="s">
        <v>54</v>
      </c>
      <c r="B19" s="13">
        <v>1022430792.45</v>
      </c>
      <c r="C19" s="13">
        <v>945922606.23000002</v>
      </c>
      <c r="D19" s="13">
        <v>76508186.220000029</v>
      </c>
      <c r="E19" s="13">
        <v>26613520.370000001</v>
      </c>
      <c r="F19" s="13">
        <v>19809810</v>
      </c>
      <c r="G19" s="14">
        <v>3.86</v>
      </c>
      <c r="H19" s="14">
        <v>1.34</v>
      </c>
      <c r="I19" s="13">
        <v>2217793.3641666668</v>
      </c>
      <c r="J19" s="15">
        <v>0</v>
      </c>
      <c r="K19" s="13">
        <v>76508186.220000029</v>
      </c>
      <c r="L19" s="13" t="s">
        <v>193</v>
      </c>
      <c r="M19" s="13" t="s">
        <v>193</v>
      </c>
      <c r="N19" s="197">
        <v>43922</v>
      </c>
      <c r="O19" s="16">
        <v>45383</v>
      </c>
      <c r="P19" s="13">
        <v>2428104</v>
      </c>
      <c r="Q19" s="242" t="e">
        <v>#VALUE!</v>
      </c>
    </row>
    <row r="20" spans="1:17" x14ac:dyDescent="0.2">
      <c r="A20" s="4" t="s">
        <v>40</v>
      </c>
      <c r="B20" s="13">
        <v>500565228.91000003</v>
      </c>
      <c r="C20" s="13">
        <v>460634771.94999999</v>
      </c>
      <c r="D20" s="13">
        <v>39930456.960000038</v>
      </c>
      <c r="E20" s="13">
        <v>6940799.3799999999</v>
      </c>
      <c r="F20" s="13">
        <v>10539100</v>
      </c>
      <c r="G20" s="14">
        <v>3.79</v>
      </c>
      <c r="H20" s="14">
        <v>0.66</v>
      </c>
      <c r="I20" s="13">
        <v>578399.94833333336</v>
      </c>
      <c r="J20" s="15">
        <v>3</v>
      </c>
      <c r="K20" s="13">
        <v>38195257.115000039</v>
      </c>
      <c r="L20" s="13">
        <v>6284085.6533333464</v>
      </c>
      <c r="M20" s="13">
        <v>4527568.9866666794</v>
      </c>
      <c r="N20" s="197">
        <v>43647</v>
      </c>
      <c r="O20" s="16">
        <v>45474</v>
      </c>
      <c r="P20" s="13">
        <v>302995.03999999998</v>
      </c>
      <c r="Q20" s="242" t="e">
        <v>#VALUE!</v>
      </c>
    </row>
    <row r="21" spans="1:17" x14ac:dyDescent="0.2">
      <c r="A21" s="4" t="s">
        <v>43</v>
      </c>
      <c r="B21" s="13">
        <v>300551063.33999997</v>
      </c>
      <c r="C21" s="13">
        <v>275660579.75</v>
      </c>
      <c r="D21" s="13">
        <v>24890483.589999974</v>
      </c>
      <c r="E21" s="13">
        <v>9827521.8499999996</v>
      </c>
      <c r="F21" s="13">
        <v>6730317</v>
      </c>
      <c r="G21" s="14">
        <v>3.7</v>
      </c>
      <c r="H21" s="14">
        <v>1.46</v>
      </c>
      <c r="I21" s="13">
        <v>818960.15416666667</v>
      </c>
      <c r="J21" s="15">
        <v>3</v>
      </c>
      <c r="K21" s="13">
        <v>22433603.127499975</v>
      </c>
      <c r="L21" s="13">
        <v>3809949.8633333244</v>
      </c>
      <c r="M21" s="13">
        <v>2688230.3633333244</v>
      </c>
      <c r="N21" s="197">
        <v>43647</v>
      </c>
      <c r="O21" s="16">
        <v>45474</v>
      </c>
      <c r="P21" s="13">
        <v>2742712.63</v>
      </c>
      <c r="Q21" s="242" t="e">
        <v>#VALUE!</v>
      </c>
    </row>
    <row r="22" spans="1:17" x14ac:dyDescent="0.2">
      <c r="A22" s="4" t="s">
        <v>38</v>
      </c>
      <c r="B22" s="13">
        <v>1010324720</v>
      </c>
      <c r="C22" s="13">
        <v>928729056.87</v>
      </c>
      <c r="D22" s="13">
        <v>81595663.129999995</v>
      </c>
      <c r="E22" s="13">
        <v>31588884.48</v>
      </c>
      <c r="F22" s="13">
        <v>23059848</v>
      </c>
      <c r="G22" s="14">
        <v>3.54</v>
      </c>
      <c r="H22" s="14">
        <v>1.37</v>
      </c>
      <c r="I22" s="13">
        <v>2632407.04</v>
      </c>
      <c r="J22" s="15">
        <v>0</v>
      </c>
      <c r="K22" s="13">
        <v>81595663.129999995</v>
      </c>
      <c r="L22" s="13" t="s">
        <v>193</v>
      </c>
      <c r="M22" s="13" t="s">
        <v>193</v>
      </c>
      <c r="N22" s="197">
        <v>43922</v>
      </c>
      <c r="O22" s="16">
        <v>45383</v>
      </c>
      <c r="P22" s="13">
        <v>1275963.54</v>
      </c>
      <c r="Q22" s="242" t="e">
        <v>#VALUE!</v>
      </c>
    </row>
    <row r="23" spans="1:17" x14ac:dyDescent="0.2">
      <c r="A23" s="4" t="s">
        <v>16</v>
      </c>
      <c r="B23" s="13">
        <v>104394118</v>
      </c>
      <c r="C23" s="13">
        <v>95118643.200000003</v>
      </c>
      <c r="D23" s="13">
        <v>9275474.799999997</v>
      </c>
      <c r="E23" s="13">
        <v>2193623.04</v>
      </c>
      <c r="F23" s="13">
        <v>2677355</v>
      </c>
      <c r="G23" s="14">
        <v>3.46</v>
      </c>
      <c r="H23" s="14">
        <v>0.82</v>
      </c>
      <c r="I23" s="13">
        <v>182801.92000000001</v>
      </c>
      <c r="J23" s="15">
        <v>3</v>
      </c>
      <c r="K23" s="13">
        <v>8727069.0399999972</v>
      </c>
      <c r="L23" s="13">
        <v>1306921.5999999989</v>
      </c>
      <c r="M23" s="13">
        <v>860695.76666666567</v>
      </c>
      <c r="N23" s="197">
        <v>43647</v>
      </c>
      <c r="O23" s="16">
        <v>45474</v>
      </c>
      <c r="P23" s="13">
        <v>41017.410000000003</v>
      </c>
      <c r="Q23" s="242" t="e">
        <v>#VALUE!</v>
      </c>
    </row>
    <row r="24" spans="1:17" x14ac:dyDescent="0.2">
      <c r="A24" s="4" t="s">
        <v>55</v>
      </c>
      <c r="B24" s="13">
        <v>254239457</v>
      </c>
      <c r="C24" s="13">
        <v>235109849.94</v>
      </c>
      <c r="D24" s="13">
        <v>19129607.060000002</v>
      </c>
      <c r="E24" s="13">
        <v>6606225.0300000003</v>
      </c>
      <c r="F24" s="13">
        <v>5680880</v>
      </c>
      <c r="G24" s="14">
        <v>3.37</v>
      </c>
      <c r="H24" s="14">
        <v>1.1599999999999999</v>
      </c>
      <c r="I24" s="13">
        <v>550518.75250000006</v>
      </c>
      <c r="J24" s="15">
        <v>9</v>
      </c>
      <c r="K24" s="13">
        <v>14174938.287500001</v>
      </c>
      <c r="L24" s="13">
        <v>863094.11777777807</v>
      </c>
      <c r="M24" s="13" t="s">
        <v>192</v>
      </c>
      <c r="N24" s="197">
        <v>43831</v>
      </c>
      <c r="O24" s="16">
        <v>45658</v>
      </c>
      <c r="P24" s="13">
        <v>1340985.8899999999</v>
      </c>
      <c r="Q24" s="242" t="e">
        <v>#VALUE!</v>
      </c>
    </row>
    <row r="25" spans="1:17" x14ac:dyDescent="0.2">
      <c r="A25" s="4" t="s">
        <v>51</v>
      </c>
      <c r="B25" s="13">
        <v>2001064841.29</v>
      </c>
      <c r="C25" s="13">
        <v>1869951290.8800001</v>
      </c>
      <c r="D25" s="13">
        <v>131113550.40999985</v>
      </c>
      <c r="E25" s="13">
        <v>38707310.310000002</v>
      </c>
      <c r="F25" s="13">
        <v>40779947</v>
      </c>
      <c r="G25" s="14">
        <v>3.22</v>
      </c>
      <c r="H25" s="14">
        <v>0.95</v>
      </c>
      <c r="I25" s="13">
        <v>3225609.1925000004</v>
      </c>
      <c r="J25" s="15">
        <v>9</v>
      </c>
      <c r="K25" s="13">
        <v>102083067.67749985</v>
      </c>
      <c r="L25" s="13">
        <v>5505961.8233333165</v>
      </c>
      <c r="M25" s="13">
        <v>3240409.2122222055</v>
      </c>
      <c r="N25" s="197">
        <v>43831</v>
      </c>
      <c r="O25" s="16">
        <v>45658</v>
      </c>
      <c r="P25" s="13">
        <v>3472485.01</v>
      </c>
      <c r="Q25" s="242" t="e">
        <v>#VALUE!</v>
      </c>
    </row>
    <row r="26" spans="1:17" x14ac:dyDescent="0.2">
      <c r="A26" s="4" t="s">
        <v>28</v>
      </c>
      <c r="B26" s="13">
        <v>1059732308</v>
      </c>
      <c r="C26" s="13">
        <v>982523692.5</v>
      </c>
      <c r="D26" s="13">
        <v>77208615.5</v>
      </c>
      <c r="E26" s="13">
        <v>16659891.560000001</v>
      </c>
      <c r="F26" s="13">
        <v>24168777</v>
      </c>
      <c r="G26" s="14">
        <v>3.19</v>
      </c>
      <c r="H26" s="14">
        <v>0.69</v>
      </c>
      <c r="I26" s="13">
        <v>1388324.2966666666</v>
      </c>
      <c r="J26" s="15">
        <v>9</v>
      </c>
      <c r="K26" s="13">
        <v>64713696.829999998</v>
      </c>
      <c r="L26" s="13">
        <v>3207895.722222222</v>
      </c>
      <c r="M26" s="13">
        <v>1865185.888888889</v>
      </c>
      <c r="N26" s="197">
        <v>43831</v>
      </c>
      <c r="O26" s="16">
        <v>45658</v>
      </c>
      <c r="P26" s="13">
        <v>1755676</v>
      </c>
      <c r="Q26" s="242" t="e">
        <v>#VALUE!</v>
      </c>
    </row>
    <row r="27" spans="1:17" x14ac:dyDescent="0.2">
      <c r="A27" s="4" t="s">
        <v>21</v>
      </c>
      <c r="B27" s="13">
        <v>528328839.02999997</v>
      </c>
      <c r="C27" s="13">
        <v>485018360.06</v>
      </c>
      <c r="D27" s="13">
        <v>43310478.969999969</v>
      </c>
      <c r="E27" s="13">
        <v>16537762.460000001</v>
      </c>
      <c r="F27" s="13">
        <v>13880022</v>
      </c>
      <c r="G27" s="14">
        <v>3.12</v>
      </c>
      <c r="H27" s="14">
        <v>1.19</v>
      </c>
      <c r="I27" s="13">
        <v>1378146.8716666668</v>
      </c>
      <c r="J27" s="15">
        <v>3</v>
      </c>
      <c r="K27" s="13">
        <v>39176038.354999967</v>
      </c>
      <c r="L27" s="13">
        <v>5183478.323333323</v>
      </c>
      <c r="M27" s="13">
        <v>2870141.323333323</v>
      </c>
      <c r="N27" s="197">
        <v>43647</v>
      </c>
      <c r="O27" s="16">
        <v>45474</v>
      </c>
      <c r="P27" s="13">
        <v>0</v>
      </c>
      <c r="Q27" s="242" t="e">
        <v>#VALUE!</v>
      </c>
    </row>
    <row r="28" spans="1:17" x14ac:dyDescent="0.2">
      <c r="A28" s="4" t="s">
        <v>37</v>
      </c>
      <c r="B28" s="13">
        <v>1239472339.1700001</v>
      </c>
      <c r="C28" s="13">
        <v>1164582781.6300001</v>
      </c>
      <c r="D28" s="13">
        <v>74889557.539999962</v>
      </c>
      <c r="E28" s="13">
        <v>20356558.289999999</v>
      </c>
      <c r="F28" s="13">
        <v>24088947</v>
      </c>
      <c r="G28" s="14">
        <v>3.11</v>
      </c>
      <c r="H28" s="14">
        <v>0.85</v>
      </c>
      <c r="I28" s="13">
        <v>1696379.8574999999</v>
      </c>
      <c r="J28" s="15">
        <v>3</v>
      </c>
      <c r="K28" s="13">
        <v>69800417.967499956</v>
      </c>
      <c r="L28" s="13">
        <v>8903887.8466666546</v>
      </c>
      <c r="M28" s="13">
        <v>4889063.3466666536</v>
      </c>
      <c r="N28" s="197">
        <v>43647</v>
      </c>
      <c r="O28" s="16">
        <v>45474</v>
      </c>
      <c r="P28" s="13">
        <v>2130167.75</v>
      </c>
      <c r="Q28" s="242" t="e">
        <v>#VALUE!</v>
      </c>
    </row>
    <row r="29" spans="1:17" x14ac:dyDescent="0.2">
      <c r="A29" s="4" t="s">
        <v>24</v>
      </c>
      <c r="B29" s="13">
        <v>1642297566.0699999</v>
      </c>
      <c r="C29" s="13">
        <v>1515217597.5899999</v>
      </c>
      <c r="D29" s="13">
        <v>127079968.48000002</v>
      </c>
      <c r="E29" s="13">
        <v>36808059.740000002</v>
      </c>
      <c r="F29" s="13">
        <v>40984884</v>
      </c>
      <c r="G29" s="14">
        <v>3.1</v>
      </c>
      <c r="H29" s="14">
        <v>0.9</v>
      </c>
      <c r="I29" s="13">
        <v>3067338.311666667</v>
      </c>
      <c r="J29" s="15">
        <v>3</v>
      </c>
      <c r="K29" s="13">
        <v>117877953.54500002</v>
      </c>
      <c r="L29" s="13">
        <v>15036733.49333334</v>
      </c>
      <c r="M29" s="13">
        <v>8205919.4933333397</v>
      </c>
      <c r="N29" s="197">
        <v>43647</v>
      </c>
      <c r="O29" s="16">
        <v>45474</v>
      </c>
      <c r="P29" s="13">
        <v>3804379.78</v>
      </c>
      <c r="Q29" s="242" t="e">
        <v>#VALUE!</v>
      </c>
    </row>
    <row r="30" spans="1:17" x14ac:dyDescent="0.2">
      <c r="A30" s="4" t="s">
        <v>45</v>
      </c>
      <c r="B30" s="13">
        <v>1228777673.53</v>
      </c>
      <c r="C30" s="13">
        <v>1081485621.8599999</v>
      </c>
      <c r="D30" s="13">
        <v>147292051.67000008</v>
      </c>
      <c r="E30" s="13">
        <v>61678305.899999999</v>
      </c>
      <c r="F30" s="13">
        <v>47456120</v>
      </c>
      <c r="G30" s="14">
        <v>3.1</v>
      </c>
      <c r="H30" s="14">
        <v>1.3</v>
      </c>
      <c r="I30" s="13">
        <v>5139858.8250000002</v>
      </c>
      <c r="J30" s="15">
        <v>9</v>
      </c>
      <c r="K30" s="13">
        <v>101033322.24500006</v>
      </c>
      <c r="L30" s="13">
        <v>5819979.0744444532</v>
      </c>
      <c r="M30" s="13" t="s">
        <v>192</v>
      </c>
      <c r="N30" s="197">
        <v>43831</v>
      </c>
      <c r="O30" s="16">
        <v>45658</v>
      </c>
      <c r="P30" s="13">
        <v>4206304.46</v>
      </c>
      <c r="Q30" s="242" t="e">
        <v>#VALUE!</v>
      </c>
    </row>
    <row r="31" spans="1:17" x14ac:dyDescent="0.2">
      <c r="A31" s="4" t="s">
        <v>33</v>
      </c>
      <c r="B31" s="13">
        <v>314446387.48000002</v>
      </c>
      <c r="C31" s="13">
        <v>288690059.75</v>
      </c>
      <c r="D31" s="13">
        <v>25756327.730000019</v>
      </c>
      <c r="E31" s="13">
        <v>9199043.0600000005</v>
      </c>
      <c r="F31" s="13">
        <v>8369791</v>
      </c>
      <c r="G31" s="14">
        <v>3.08</v>
      </c>
      <c r="H31" s="14">
        <v>1.1000000000000001</v>
      </c>
      <c r="I31" s="13">
        <v>766586.92166666675</v>
      </c>
      <c r="J31" s="15">
        <v>3</v>
      </c>
      <c r="K31" s="13">
        <v>23456566.965000018</v>
      </c>
      <c r="L31" s="13">
        <v>3005581.9100000062</v>
      </c>
      <c r="M31" s="13">
        <v>1610616.7433333397</v>
      </c>
      <c r="N31" s="197">
        <v>43647</v>
      </c>
      <c r="O31" s="16">
        <v>45474</v>
      </c>
      <c r="P31" s="13">
        <v>2506407.77</v>
      </c>
      <c r="Q31" s="242" t="e">
        <v>#VALUE!</v>
      </c>
    </row>
    <row r="32" spans="1:17" x14ac:dyDescent="0.2">
      <c r="A32" s="4" t="s">
        <v>20</v>
      </c>
      <c r="B32" s="13">
        <v>392634217.93000001</v>
      </c>
      <c r="C32" s="13">
        <v>365455553.85000002</v>
      </c>
      <c r="D32" s="13">
        <v>27178664.079999983</v>
      </c>
      <c r="E32" s="13">
        <v>17950539.77</v>
      </c>
      <c r="F32" s="13">
        <v>9305817</v>
      </c>
      <c r="G32" s="14">
        <v>2.92</v>
      </c>
      <c r="H32" s="14">
        <v>1.93</v>
      </c>
      <c r="I32" s="13">
        <v>1495878.3141666667</v>
      </c>
      <c r="J32" s="15">
        <v>0</v>
      </c>
      <c r="K32" s="13">
        <v>27178664.079999983</v>
      </c>
      <c r="L32" s="13" t="s">
        <v>193</v>
      </c>
      <c r="M32" s="13" t="s">
        <v>193</v>
      </c>
      <c r="N32" s="197">
        <v>43556</v>
      </c>
      <c r="O32" s="16">
        <v>45383</v>
      </c>
      <c r="P32" s="13">
        <v>6103785.8600000003</v>
      </c>
      <c r="Q32" s="242" t="e">
        <v>#VALUE!</v>
      </c>
    </row>
    <row r="33" spans="1:17" x14ac:dyDescent="0.2">
      <c r="A33" s="4" t="s">
        <v>29</v>
      </c>
      <c r="B33" s="13">
        <v>675052951</v>
      </c>
      <c r="C33" s="13">
        <v>632216596.15999997</v>
      </c>
      <c r="D33" s="13">
        <v>42836354.840000033</v>
      </c>
      <c r="E33" s="13">
        <v>11654969.65</v>
      </c>
      <c r="F33" s="13">
        <v>14786581</v>
      </c>
      <c r="G33" s="14">
        <v>2.9</v>
      </c>
      <c r="H33" s="14">
        <v>0.79</v>
      </c>
      <c r="I33" s="13">
        <v>971247.47083333333</v>
      </c>
      <c r="J33" s="15">
        <v>9</v>
      </c>
      <c r="K33" s="13">
        <v>34095127.602500036</v>
      </c>
      <c r="L33" s="13">
        <v>1473688.093333337</v>
      </c>
      <c r="M33" s="13" t="s">
        <v>192</v>
      </c>
      <c r="N33" s="197">
        <v>43466</v>
      </c>
      <c r="O33" s="16">
        <v>45658</v>
      </c>
      <c r="P33" s="13">
        <v>1716899.49</v>
      </c>
      <c r="Q33" s="242" t="e">
        <v>#VALUE!</v>
      </c>
    </row>
    <row r="34" spans="1:17" x14ac:dyDescent="0.2">
      <c r="A34" s="4" t="s">
        <v>56</v>
      </c>
      <c r="B34" s="13">
        <v>1154905413</v>
      </c>
      <c r="C34" s="13">
        <v>1075781097.4200001</v>
      </c>
      <c r="D34" s="13">
        <v>79124315.579999924</v>
      </c>
      <c r="E34" s="13">
        <v>26014247.879999999</v>
      </c>
      <c r="F34" s="13">
        <v>27571438</v>
      </c>
      <c r="G34" s="14">
        <v>2.87</v>
      </c>
      <c r="H34" s="14">
        <v>0.94</v>
      </c>
      <c r="I34" s="13">
        <v>2167853.9899999998</v>
      </c>
      <c r="J34" s="15">
        <v>3</v>
      </c>
      <c r="K34" s="13">
        <v>72620753.609999925</v>
      </c>
      <c r="L34" s="13">
        <v>7993813.1933333082</v>
      </c>
      <c r="M34" s="13">
        <v>3398573.5266666412</v>
      </c>
      <c r="N34" s="197">
        <v>43647</v>
      </c>
      <c r="O34" s="16">
        <v>45474</v>
      </c>
      <c r="P34" s="13">
        <v>1430151.27</v>
      </c>
      <c r="Q34" s="242" t="e">
        <v>#VALUE!</v>
      </c>
    </row>
    <row r="35" spans="1:17" x14ac:dyDescent="0.2">
      <c r="A35" s="4" t="s">
        <v>42</v>
      </c>
      <c r="B35" s="13">
        <v>346058940</v>
      </c>
      <c r="C35" s="13">
        <v>320994797.33999997</v>
      </c>
      <c r="D35" s="13">
        <v>25064142.660000026</v>
      </c>
      <c r="E35" s="13">
        <v>5177066.07</v>
      </c>
      <c r="F35" s="13">
        <v>9353201</v>
      </c>
      <c r="G35" s="14">
        <v>2.68</v>
      </c>
      <c r="H35" s="14">
        <v>0.55000000000000004</v>
      </c>
      <c r="I35" s="13">
        <v>431422.17250000004</v>
      </c>
      <c r="J35" s="15">
        <v>9</v>
      </c>
      <c r="K35" s="13">
        <v>21181343.107500024</v>
      </c>
      <c r="L35" s="13">
        <v>706415.62888889178</v>
      </c>
      <c r="M35" s="13" t="s">
        <v>192</v>
      </c>
      <c r="N35" s="197">
        <v>43831</v>
      </c>
      <c r="O35" s="16">
        <v>45658</v>
      </c>
      <c r="P35" s="13">
        <v>404638.23</v>
      </c>
      <c r="Q35" s="242" t="e">
        <v>#VALUE!</v>
      </c>
    </row>
    <row r="36" spans="1:17" x14ac:dyDescent="0.2">
      <c r="A36" s="4" t="s">
        <v>50</v>
      </c>
      <c r="B36" s="13">
        <v>545409679.30999994</v>
      </c>
      <c r="C36" s="13">
        <v>514123238.31</v>
      </c>
      <c r="D36" s="13">
        <v>31286440.99999994</v>
      </c>
      <c r="E36" s="13">
        <v>16200465.83</v>
      </c>
      <c r="F36" s="13">
        <v>11656242</v>
      </c>
      <c r="G36" s="14">
        <v>2.68</v>
      </c>
      <c r="H36" s="14">
        <v>1.39</v>
      </c>
      <c r="I36" s="13">
        <v>1350038.8191666666</v>
      </c>
      <c r="J36" s="15">
        <v>9</v>
      </c>
      <c r="K36" s="13">
        <v>19136091.627499942</v>
      </c>
      <c r="L36" s="13" t="s">
        <v>192</v>
      </c>
      <c r="M36" s="13" t="s">
        <v>192</v>
      </c>
      <c r="N36" s="197">
        <v>43831</v>
      </c>
      <c r="O36" s="16">
        <v>45658</v>
      </c>
      <c r="P36" s="13">
        <v>1351013</v>
      </c>
      <c r="Q36" s="242" t="e">
        <v>#VALUE!</v>
      </c>
    </row>
    <row r="37" spans="1:17" x14ac:dyDescent="0.2">
      <c r="A37" s="4" t="s">
        <v>34</v>
      </c>
      <c r="B37" s="13">
        <v>1394382977.99</v>
      </c>
      <c r="C37" s="13">
        <v>1301967434.9400001</v>
      </c>
      <c r="D37" s="13">
        <v>92415543.049999952</v>
      </c>
      <c r="E37" s="13">
        <v>34514844.850000001</v>
      </c>
      <c r="F37" s="13">
        <v>34869850</v>
      </c>
      <c r="G37" s="14">
        <v>2.65</v>
      </c>
      <c r="H37" s="14">
        <v>0.99</v>
      </c>
      <c r="I37" s="13">
        <v>2876237.0708333333</v>
      </c>
      <c r="J37" s="15">
        <v>0</v>
      </c>
      <c r="K37" s="13">
        <v>92415543.049999952</v>
      </c>
      <c r="L37" s="13" t="s">
        <v>193</v>
      </c>
      <c r="M37" s="13" t="s">
        <v>193</v>
      </c>
      <c r="N37" s="197">
        <v>43922</v>
      </c>
      <c r="O37" s="16">
        <v>45383</v>
      </c>
      <c r="P37" s="13">
        <v>2379743.1</v>
      </c>
      <c r="Q37" s="242" t="e">
        <v>#VALUE!</v>
      </c>
    </row>
    <row r="38" spans="1:17" x14ac:dyDescent="0.2">
      <c r="A38" s="4" t="s">
        <v>57</v>
      </c>
      <c r="B38" s="13">
        <v>2879313105.54</v>
      </c>
      <c r="C38" s="13">
        <v>2692009497.5</v>
      </c>
      <c r="D38" s="13">
        <v>187303608.03999996</v>
      </c>
      <c r="E38" s="13">
        <v>82436698.780000001</v>
      </c>
      <c r="F38" s="13">
        <v>70613641</v>
      </c>
      <c r="G38" s="14">
        <v>2.65</v>
      </c>
      <c r="H38" s="14">
        <v>1.17</v>
      </c>
      <c r="I38" s="13">
        <v>6869724.8983333334</v>
      </c>
      <c r="J38" s="15">
        <v>5</v>
      </c>
      <c r="K38" s="13">
        <v>152954983.54833329</v>
      </c>
      <c r="L38" s="13">
        <v>9215265.2079999931</v>
      </c>
      <c r="M38" s="13" t="s">
        <v>192</v>
      </c>
      <c r="N38" s="197">
        <v>44075</v>
      </c>
      <c r="O38" s="16">
        <v>45536</v>
      </c>
      <c r="P38" s="13">
        <v>12931826.369999999</v>
      </c>
      <c r="Q38" s="242" t="e">
        <v>#VALUE!</v>
      </c>
    </row>
    <row r="39" spans="1:17" x14ac:dyDescent="0.2">
      <c r="A39" s="4" t="s">
        <v>61</v>
      </c>
      <c r="B39" s="13">
        <v>522049097</v>
      </c>
      <c r="C39" s="13">
        <v>487416521.54000002</v>
      </c>
      <c r="D39" s="13">
        <v>34632575.459999979</v>
      </c>
      <c r="E39" s="13">
        <v>15926522.33</v>
      </c>
      <c r="F39" s="13">
        <v>13105608</v>
      </c>
      <c r="G39" s="14">
        <v>2.64</v>
      </c>
      <c r="H39" s="14">
        <v>1.22</v>
      </c>
      <c r="I39" s="13">
        <v>1327210.1941666666</v>
      </c>
      <c r="J39" s="15">
        <v>3</v>
      </c>
      <c r="K39" s="13">
        <v>30650944.877499979</v>
      </c>
      <c r="L39" s="13">
        <v>2807119.8199999928</v>
      </c>
      <c r="M39" s="13" t="s">
        <v>192</v>
      </c>
      <c r="N39" s="197">
        <v>43647</v>
      </c>
      <c r="O39" s="16">
        <v>45474</v>
      </c>
      <c r="P39" s="13">
        <v>1166037.79</v>
      </c>
      <c r="Q39" s="242" t="e">
        <v>#VALUE!</v>
      </c>
    </row>
    <row r="40" spans="1:17" x14ac:dyDescent="0.2">
      <c r="A40" s="4" t="s">
        <v>59</v>
      </c>
      <c r="B40" s="13">
        <v>277600986</v>
      </c>
      <c r="C40" s="13">
        <v>257960223.59</v>
      </c>
      <c r="D40" s="13">
        <v>19640762.409999996</v>
      </c>
      <c r="E40" s="13">
        <v>7363055.5700000003</v>
      </c>
      <c r="F40" s="13">
        <v>7461397</v>
      </c>
      <c r="G40" s="14">
        <v>2.63</v>
      </c>
      <c r="H40" s="14">
        <v>0.99</v>
      </c>
      <c r="I40" s="13">
        <v>613587.96416666673</v>
      </c>
      <c r="J40" s="15">
        <v>3</v>
      </c>
      <c r="K40" s="13">
        <v>17799998.517499998</v>
      </c>
      <c r="L40" s="13">
        <v>1572656.1366666656</v>
      </c>
      <c r="M40" s="13" t="s">
        <v>192</v>
      </c>
      <c r="N40" s="197">
        <v>43647</v>
      </c>
      <c r="O40" s="16">
        <v>45474</v>
      </c>
      <c r="P40" s="13">
        <v>214684</v>
      </c>
      <c r="Q40" s="242" t="e">
        <v>#VALUE!</v>
      </c>
    </row>
    <row r="41" spans="1:17" x14ac:dyDescent="0.2">
      <c r="A41" s="4" t="s">
        <v>15</v>
      </c>
      <c r="B41" s="13">
        <v>1085275104.5</v>
      </c>
      <c r="C41" s="13">
        <v>1025404772.59</v>
      </c>
      <c r="D41" s="13">
        <v>59870331.909999967</v>
      </c>
      <c r="E41" s="13">
        <v>20740336.82</v>
      </c>
      <c r="F41" s="13">
        <v>22858857</v>
      </c>
      <c r="G41" s="14">
        <v>2.62</v>
      </c>
      <c r="H41" s="14">
        <v>0.91</v>
      </c>
      <c r="I41" s="13">
        <v>1728361.4016666666</v>
      </c>
      <c r="J41" s="15">
        <v>0</v>
      </c>
      <c r="K41" s="13">
        <v>59870331.909999967</v>
      </c>
      <c r="L41" s="13" t="s">
        <v>193</v>
      </c>
      <c r="M41" s="13" t="s">
        <v>193</v>
      </c>
      <c r="N41" s="197">
        <v>43556</v>
      </c>
      <c r="O41" s="16">
        <v>45383</v>
      </c>
      <c r="P41" s="13">
        <v>1644951.65</v>
      </c>
      <c r="Q41" s="242" t="e">
        <v>#VALUE!</v>
      </c>
    </row>
    <row r="42" spans="1:17" x14ac:dyDescent="0.2">
      <c r="A42" s="4" t="s">
        <v>27</v>
      </c>
      <c r="B42" s="13">
        <v>1309738768.5599999</v>
      </c>
      <c r="C42" s="13">
        <v>1231312563.45</v>
      </c>
      <c r="D42" s="13">
        <v>78426205.109999895</v>
      </c>
      <c r="E42" s="13">
        <v>23399842.48</v>
      </c>
      <c r="F42" s="13">
        <v>30738746</v>
      </c>
      <c r="G42" s="14">
        <v>2.5499999999999998</v>
      </c>
      <c r="H42" s="14">
        <v>0.76</v>
      </c>
      <c r="I42" s="13">
        <v>1949986.8733333333</v>
      </c>
      <c r="J42" s="15">
        <v>3</v>
      </c>
      <c r="K42" s="13">
        <v>72576244.48999989</v>
      </c>
      <c r="L42" s="13">
        <v>5649571.0366666317</v>
      </c>
      <c r="M42" s="13" t="s">
        <v>192</v>
      </c>
      <c r="N42" s="197">
        <v>43647</v>
      </c>
      <c r="O42" s="16">
        <v>45474</v>
      </c>
      <c r="P42" s="13">
        <v>1632586.7</v>
      </c>
      <c r="Q42" s="242" t="e">
        <v>#VALUE!</v>
      </c>
    </row>
    <row r="43" spans="1:17" x14ac:dyDescent="0.2">
      <c r="A43" s="4" t="s">
        <v>31</v>
      </c>
      <c r="B43" s="13">
        <v>1205115490</v>
      </c>
      <c r="C43" s="13">
        <v>1148507393.48</v>
      </c>
      <c r="D43" s="13">
        <v>56608096.519999981</v>
      </c>
      <c r="E43" s="13">
        <v>24517473.129999999</v>
      </c>
      <c r="F43" s="13">
        <v>22499042</v>
      </c>
      <c r="G43" s="14">
        <v>2.52</v>
      </c>
      <c r="H43" s="14">
        <v>1.0900000000000001</v>
      </c>
      <c r="I43" s="13">
        <v>2043122.7608333332</v>
      </c>
      <c r="J43" s="15">
        <v>0</v>
      </c>
      <c r="K43" s="13">
        <v>56608096.519999981</v>
      </c>
      <c r="L43" s="13" t="s">
        <v>193</v>
      </c>
      <c r="M43" s="13" t="s">
        <v>193</v>
      </c>
      <c r="N43" s="197">
        <v>43922</v>
      </c>
      <c r="O43" s="16">
        <v>45383</v>
      </c>
      <c r="P43" s="13">
        <v>2392165.8199999998</v>
      </c>
      <c r="Q43" s="242" t="e">
        <v>#VALUE!</v>
      </c>
    </row>
    <row r="44" spans="1:17" x14ac:dyDescent="0.2">
      <c r="A44" s="4" t="s">
        <v>25</v>
      </c>
      <c r="B44" s="13">
        <v>342887810.45999998</v>
      </c>
      <c r="C44" s="13">
        <v>322874008.08999997</v>
      </c>
      <c r="D44" s="13">
        <v>20013802.370000005</v>
      </c>
      <c r="E44" s="13">
        <v>8113067.9900000002</v>
      </c>
      <c r="F44" s="13">
        <v>8236180</v>
      </c>
      <c r="G44" s="14">
        <v>2.4300000000000002</v>
      </c>
      <c r="H44" s="14">
        <v>0.99</v>
      </c>
      <c r="I44" s="13">
        <v>676088.99916666665</v>
      </c>
      <c r="J44" s="15">
        <v>0</v>
      </c>
      <c r="K44" s="13">
        <v>20013802.370000005</v>
      </c>
      <c r="L44" s="13" t="s">
        <v>193</v>
      </c>
      <c r="M44" s="13" t="s">
        <v>192</v>
      </c>
      <c r="N44" s="197">
        <v>43556</v>
      </c>
      <c r="O44" s="16">
        <v>45383</v>
      </c>
      <c r="P44" s="13">
        <v>921327.62</v>
      </c>
      <c r="Q44" s="242" t="e">
        <v>#VALUE!</v>
      </c>
    </row>
    <row r="45" spans="1:17" x14ac:dyDescent="0.2">
      <c r="A45" s="4" t="s">
        <v>41</v>
      </c>
      <c r="B45" s="13">
        <v>98701064</v>
      </c>
      <c r="C45" s="13">
        <v>92333255.810000002</v>
      </c>
      <c r="D45" s="13">
        <v>6367808.1899999976</v>
      </c>
      <c r="E45" s="13">
        <v>4977758.3499999996</v>
      </c>
      <c r="F45" s="13">
        <v>2898567</v>
      </c>
      <c r="G45" s="14">
        <v>2.2000000000000002</v>
      </c>
      <c r="H45" s="14">
        <v>1.72</v>
      </c>
      <c r="I45" s="13">
        <v>414813.1958333333</v>
      </c>
      <c r="J45" s="15">
        <v>3</v>
      </c>
      <c r="K45" s="13">
        <v>5123368.6024999972</v>
      </c>
      <c r="L45" s="13" t="s">
        <v>192</v>
      </c>
      <c r="M45" s="13" t="s">
        <v>192</v>
      </c>
      <c r="N45" s="197">
        <v>43647</v>
      </c>
      <c r="O45" s="16">
        <v>45474</v>
      </c>
      <c r="P45" s="13">
        <v>720734.11</v>
      </c>
      <c r="Q45" s="242" t="e">
        <v>#VALUE!</v>
      </c>
    </row>
    <row r="46" spans="1:17" x14ac:dyDescent="0.2">
      <c r="A46" s="4" t="s">
        <v>49</v>
      </c>
      <c r="B46" s="13">
        <v>685388676.61000001</v>
      </c>
      <c r="C46" s="13">
        <v>654649029.35000002</v>
      </c>
      <c r="D46" s="13">
        <v>30739647.25999999</v>
      </c>
      <c r="E46" s="13">
        <v>16319320.609999999</v>
      </c>
      <c r="F46" s="13">
        <v>13963452</v>
      </c>
      <c r="G46" s="14">
        <v>2.2000000000000002</v>
      </c>
      <c r="H46" s="14">
        <v>1.17</v>
      </c>
      <c r="I46" s="13">
        <v>1359943.3841666665</v>
      </c>
      <c r="J46" s="15">
        <v>0</v>
      </c>
      <c r="K46" s="13">
        <v>30739647.25999999</v>
      </c>
      <c r="L46" s="13" t="s">
        <v>193</v>
      </c>
      <c r="M46" s="13" t="s">
        <v>192</v>
      </c>
      <c r="N46" s="197">
        <v>43922</v>
      </c>
      <c r="O46" s="16">
        <v>45383</v>
      </c>
      <c r="P46" s="13">
        <v>1503735.62</v>
      </c>
      <c r="Q46" s="242" t="e">
        <v>#VALUE!</v>
      </c>
    </row>
    <row r="47" spans="1:17" x14ac:dyDescent="0.2">
      <c r="A47" s="4" t="s">
        <v>48</v>
      </c>
      <c r="B47" s="13">
        <v>1940110596.77</v>
      </c>
      <c r="C47" s="13">
        <v>1841963685.1099999</v>
      </c>
      <c r="D47" s="13">
        <v>98146911.660000086</v>
      </c>
      <c r="E47" s="13">
        <v>40908064.100000001</v>
      </c>
      <c r="F47" s="13">
        <v>45492764</v>
      </c>
      <c r="G47" s="14">
        <v>2.16</v>
      </c>
      <c r="H47" s="14">
        <v>0.9</v>
      </c>
      <c r="I47" s="13">
        <v>3409005.3416666668</v>
      </c>
      <c r="J47" s="15">
        <v>3</v>
      </c>
      <c r="K47" s="13">
        <v>87919895.63500008</v>
      </c>
      <c r="L47" s="13" t="s">
        <v>192</v>
      </c>
      <c r="M47" s="13" t="s">
        <v>192</v>
      </c>
      <c r="N47" s="197">
        <v>43647</v>
      </c>
      <c r="O47" s="16">
        <v>45474</v>
      </c>
      <c r="P47" s="13">
        <v>1930158.56</v>
      </c>
      <c r="Q47" s="242" t="e">
        <v>#VALUE!</v>
      </c>
    </row>
    <row r="48" spans="1:17" x14ac:dyDescent="0.2">
      <c r="A48" s="4" t="s">
        <v>17</v>
      </c>
      <c r="B48" s="13">
        <v>389160034</v>
      </c>
      <c r="C48" s="13">
        <v>367710063.31999999</v>
      </c>
      <c r="D48" s="13">
        <v>21449970.680000007</v>
      </c>
      <c r="E48" s="13">
        <v>9376774.3399999999</v>
      </c>
      <c r="F48" s="13">
        <v>10126728</v>
      </c>
      <c r="G48" s="14">
        <v>2.12</v>
      </c>
      <c r="H48" s="14">
        <v>0.93</v>
      </c>
      <c r="I48" s="13">
        <v>781397.86166666669</v>
      </c>
      <c r="J48" s="15">
        <v>3</v>
      </c>
      <c r="K48" s="13">
        <v>19105777.095000006</v>
      </c>
      <c r="L48" s="13" t="s">
        <v>192</v>
      </c>
      <c r="M48" s="13" t="s">
        <v>192</v>
      </c>
      <c r="N48" s="197">
        <v>43647</v>
      </c>
      <c r="O48" s="16">
        <v>45474</v>
      </c>
      <c r="P48" s="13">
        <v>446666.52</v>
      </c>
      <c r="Q48" s="242" t="e">
        <v>#VALUE!</v>
      </c>
    </row>
    <row r="49" spans="1:17" x14ac:dyDescent="0.2">
      <c r="A49" s="4" t="s">
        <v>32</v>
      </c>
      <c r="B49" s="13">
        <v>497245980</v>
      </c>
      <c r="C49" s="13">
        <v>474081450.24000001</v>
      </c>
      <c r="D49" s="13">
        <v>23164529.75999999</v>
      </c>
      <c r="E49" s="13">
        <v>13281730.109999999</v>
      </c>
      <c r="F49" s="13">
        <v>11808636</v>
      </c>
      <c r="G49" s="14">
        <v>1.96</v>
      </c>
      <c r="H49" s="14">
        <v>1.1200000000000001</v>
      </c>
      <c r="I49" s="13">
        <v>1106810.8425</v>
      </c>
      <c r="J49" s="15">
        <v>9</v>
      </c>
      <c r="K49" s="13">
        <v>13203232.177499991</v>
      </c>
      <c r="L49" s="13" t="s">
        <v>192</v>
      </c>
      <c r="M49" s="13" t="s">
        <v>192</v>
      </c>
      <c r="N49" s="197">
        <v>43831</v>
      </c>
      <c r="O49" s="16">
        <v>45658</v>
      </c>
      <c r="P49" s="13">
        <v>2437592.98</v>
      </c>
      <c r="Q49" s="242" t="e">
        <v>#VALUE!</v>
      </c>
    </row>
    <row r="50" spans="1:17" x14ac:dyDescent="0.2">
      <c r="A50" s="4" t="s">
        <v>63</v>
      </c>
      <c r="B50" s="13">
        <v>1082941284</v>
      </c>
      <c r="C50" s="13">
        <v>1030125407.9</v>
      </c>
      <c r="D50" s="13">
        <v>52815876.100000024</v>
      </c>
      <c r="E50" s="13">
        <v>29691192.27</v>
      </c>
      <c r="F50" s="13">
        <v>27168342</v>
      </c>
      <c r="G50" s="14">
        <v>1.94</v>
      </c>
      <c r="H50" s="14">
        <v>1.0900000000000001</v>
      </c>
      <c r="I50" s="13">
        <v>2474266.0225</v>
      </c>
      <c r="J50" s="15">
        <v>0</v>
      </c>
      <c r="K50" s="13">
        <v>52815876.100000024</v>
      </c>
      <c r="L50" s="13" t="s">
        <v>192</v>
      </c>
      <c r="M50" s="13" t="s">
        <v>192</v>
      </c>
      <c r="N50" s="197">
        <v>43922</v>
      </c>
      <c r="O50" s="16">
        <v>45383</v>
      </c>
      <c r="P50" s="13">
        <v>5285618.42</v>
      </c>
      <c r="Q50" s="242" t="e">
        <v>#VALUE!</v>
      </c>
    </row>
    <row r="51" spans="1:17" x14ac:dyDescent="0.2">
      <c r="A51" s="4" t="s">
        <v>58</v>
      </c>
      <c r="B51" s="13">
        <v>238203233</v>
      </c>
      <c r="C51" s="13">
        <v>228126077.03</v>
      </c>
      <c r="D51" s="13">
        <v>10077155.969999999</v>
      </c>
      <c r="E51" s="13">
        <v>4844119.24</v>
      </c>
      <c r="F51" s="13">
        <v>5501208</v>
      </c>
      <c r="G51" s="14">
        <v>1.83</v>
      </c>
      <c r="H51" s="14">
        <v>0.88</v>
      </c>
      <c r="I51" s="13">
        <v>403676.60333333333</v>
      </c>
      <c r="J51" s="15">
        <v>3</v>
      </c>
      <c r="K51" s="13">
        <v>8866126.1599999983</v>
      </c>
      <c r="L51" s="13" t="s">
        <v>192</v>
      </c>
      <c r="M51" s="13" t="s">
        <v>192</v>
      </c>
      <c r="N51" s="197">
        <v>43647</v>
      </c>
      <c r="O51" s="16">
        <v>45474</v>
      </c>
      <c r="P51" s="13">
        <v>148356.92000000001</v>
      </c>
      <c r="Q51" s="242" t="e">
        <v>#VALUE!</v>
      </c>
    </row>
    <row r="52" spans="1:17" x14ac:dyDescent="0.2">
      <c r="A52" s="4" t="s">
        <v>22</v>
      </c>
      <c r="B52" s="13">
        <v>75470621</v>
      </c>
      <c r="C52" s="13">
        <v>71751985.959999993</v>
      </c>
      <c r="D52" s="18">
        <v>3718635.0400000066</v>
      </c>
      <c r="E52" s="13">
        <v>2691886.39</v>
      </c>
      <c r="F52" s="13">
        <v>2752623</v>
      </c>
      <c r="G52" s="14">
        <v>1.35</v>
      </c>
      <c r="H52" s="14">
        <v>0.98</v>
      </c>
      <c r="I52" s="18">
        <v>224323.86583333334</v>
      </c>
      <c r="J52" s="15">
        <v>3</v>
      </c>
      <c r="K52" s="18">
        <v>3045663.4425000064</v>
      </c>
      <c r="L52" s="18" t="s">
        <v>192</v>
      </c>
      <c r="M52" s="18" t="s">
        <v>192</v>
      </c>
      <c r="N52" s="198">
        <v>43647</v>
      </c>
      <c r="O52" s="16">
        <v>45474</v>
      </c>
      <c r="P52" s="13">
        <v>249638.51</v>
      </c>
      <c r="Q52" s="242" t="e">
        <v>#VALUE!</v>
      </c>
    </row>
    <row r="53" spans="1:17" x14ac:dyDescent="0.25">
      <c r="A53" s="36" t="s">
        <v>65</v>
      </c>
      <c r="B53" s="33">
        <v>43056918036.709999</v>
      </c>
      <c r="C53" s="13">
        <v>39692319280.830002</v>
      </c>
      <c r="D53" s="33">
        <v>3364598755.8799973</v>
      </c>
      <c r="E53" s="13">
        <v>944613072.34000003</v>
      </c>
      <c r="F53" s="13">
        <v>981907757</v>
      </c>
      <c r="G53" s="14">
        <v>3.43</v>
      </c>
      <c r="H53" s="14">
        <v>0.96</v>
      </c>
      <c r="I53" s="33">
        <v>78717756.028333336</v>
      </c>
      <c r="J53" s="34"/>
      <c r="K53" s="35"/>
      <c r="L53" s="35"/>
      <c r="M53" s="35"/>
      <c r="N53" s="35"/>
      <c r="O53" s="35"/>
      <c r="P53" s="33">
        <v>97047108.360000014</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41</v>
      </c>
      <c r="H56" s="25"/>
    </row>
    <row r="57" spans="1:17" ht="27" customHeight="1" thickBot="1" x14ac:dyDescent="0.3">
      <c r="D57" s="248" t="s">
        <v>67</v>
      </c>
      <c r="E57" s="249"/>
      <c r="F57" s="249"/>
      <c r="G57" s="27"/>
      <c r="H57" s="28">
        <v>31</v>
      </c>
    </row>
  </sheetData>
  <mergeCells count="2">
    <mergeCell ref="D56:F56"/>
    <mergeCell ref="D57:F57"/>
  </mergeCells>
  <conditionalFormatting sqref="G54">
    <cfRule type="cellIs" dxfId="377" priority="13" stopIfTrue="1" operator="greaterThan">
      <formula>2.5</formula>
    </cfRule>
    <cfRule type="cellIs" dxfId="376" priority="14" stopIfTrue="1" operator="between">
      <formula>2.01</formula>
      <formula>2.5</formula>
    </cfRule>
  </conditionalFormatting>
  <conditionalFormatting sqref="H3:H53">
    <cfRule type="cellIs" dxfId="375" priority="12" stopIfTrue="1" operator="lessThan">
      <formula>1</formula>
    </cfRule>
  </conditionalFormatting>
  <conditionalFormatting sqref="G3:G53">
    <cfRule type="cellIs" dxfId="374" priority="10" stopIfTrue="1" operator="greaterThan">
      <formula>2.5</formula>
    </cfRule>
    <cfRule type="cellIs" dxfId="373" priority="11" stopIfTrue="1" operator="between">
      <formula>2.01</formula>
      <formula>2.5</formula>
    </cfRule>
  </conditionalFormatting>
  <conditionalFormatting sqref="K3:K52">
    <cfRule type="cellIs" dxfId="372" priority="8" stopIfTrue="1" operator="greaterThan">
      <formula>$F3*2.5</formula>
    </cfRule>
    <cfRule type="cellIs" dxfId="371" priority="9" stopIfTrue="1" operator="between">
      <formula>$F3*2</formula>
      <formula>$F3*2.5</formula>
    </cfRule>
  </conditionalFormatting>
  <conditionalFormatting sqref="G54">
    <cfRule type="cellIs" dxfId="370" priority="6" stopIfTrue="1" operator="greaterThan">
      <formula>2.5</formula>
    </cfRule>
    <cfRule type="cellIs" dxfId="369" priority="7" stopIfTrue="1" operator="between">
      <formula>2.01</formula>
      <formula>2.5</formula>
    </cfRule>
  </conditionalFormatting>
  <conditionalFormatting sqref="H3:H53">
    <cfRule type="cellIs" dxfId="368" priority="5" stopIfTrue="1" operator="lessThan">
      <formula>1</formula>
    </cfRule>
  </conditionalFormatting>
  <conditionalFormatting sqref="G3:G53">
    <cfRule type="cellIs" dxfId="367" priority="3" stopIfTrue="1" operator="greaterThan">
      <formula>2.5</formula>
    </cfRule>
    <cfRule type="cellIs" dxfId="366" priority="4" stopIfTrue="1" operator="between">
      <formula>2.01</formula>
      <formula>2.5</formula>
    </cfRule>
  </conditionalFormatting>
  <conditionalFormatting sqref="K3:K52">
    <cfRule type="cellIs" dxfId="365" priority="1" stopIfTrue="1" operator="greaterThan">
      <formula>$F3*2.5</formula>
    </cfRule>
    <cfRule type="cellIs" dxfId="364"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E575B-12E4-44ED-BEE9-0FFA6A033C00}">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270</v>
      </c>
      <c r="B1" s="196" t="s">
        <v>271</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1139975937.45</v>
      </c>
      <c r="C3" s="13">
        <v>985078263.65999997</v>
      </c>
      <c r="D3" s="13">
        <v>154897673.79000008</v>
      </c>
      <c r="E3" s="13">
        <v>13352801.99</v>
      </c>
      <c r="F3" s="13">
        <v>24778539</v>
      </c>
      <c r="G3" s="14">
        <v>6.25</v>
      </c>
      <c r="H3" s="14">
        <v>0.54</v>
      </c>
      <c r="I3" s="13">
        <v>1112733.4991666668</v>
      </c>
      <c r="J3" s="15">
        <v>2</v>
      </c>
      <c r="K3" s="13">
        <v>152672206.79166675</v>
      </c>
      <c r="L3" s="13">
        <v>52670297.895000041</v>
      </c>
      <c r="M3" s="13">
        <v>46475663.145000041</v>
      </c>
      <c r="N3" s="197">
        <v>43647</v>
      </c>
      <c r="O3" s="16">
        <v>45474</v>
      </c>
      <c r="P3" s="13">
        <v>1135041.17</v>
      </c>
      <c r="Q3" s="243" t="e">
        <v>#VALUE!</v>
      </c>
    </row>
    <row r="4" spans="1:17" x14ac:dyDescent="0.2">
      <c r="A4" s="4" t="s">
        <v>62</v>
      </c>
      <c r="B4" s="13">
        <v>708696383.32000005</v>
      </c>
      <c r="C4" s="13">
        <v>632809780.02999997</v>
      </c>
      <c r="D4" s="13">
        <v>75886603.290000081</v>
      </c>
      <c r="E4" s="13">
        <v>11810594.48</v>
      </c>
      <c r="F4" s="13">
        <v>13833071</v>
      </c>
      <c r="G4" s="14">
        <v>5.49</v>
      </c>
      <c r="H4" s="14">
        <v>0.85</v>
      </c>
      <c r="I4" s="13">
        <v>984216.20666666667</v>
      </c>
      <c r="J4" s="15">
        <v>2</v>
      </c>
      <c r="K4" s="13">
        <v>73918170.876666754</v>
      </c>
      <c r="L4" s="13">
        <v>24110230.645000041</v>
      </c>
      <c r="M4" s="13">
        <v>20651962.895000041</v>
      </c>
      <c r="N4" s="197">
        <v>43647</v>
      </c>
      <c r="O4" s="16">
        <v>45474</v>
      </c>
      <c r="P4" s="13">
        <v>175652.13</v>
      </c>
      <c r="Q4" s="242" t="e">
        <v>#VALUE!</v>
      </c>
    </row>
    <row r="5" spans="1:17" x14ac:dyDescent="0.2">
      <c r="A5" s="4" t="s">
        <v>46</v>
      </c>
      <c r="B5" s="13">
        <v>1788595890.3599999</v>
      </c>
      <c r="C5" s="13">
        <v>1536108744.1500001</v>
      </c>
      <c r="D5" s="13">
        <v>252487146.2099998</v>
      </c>
      <c r="E5" s="13">
        <v>35700150.729999997</v>
      </c>
      <c r="F5" s="13">
        <v>46272979</v>
      </c>
      <c r="G5" s="14">
        <v>5.46</v>
      </c>
      <c r="H5" s="14">
        <v>0.77</v>
      </c>
      <c r="I5" s="13">
        <v>2975012.5608333331</v>
      </c>
      <c r="J5" s="15">
        <v>8</v>
      </c>
      <c r="K5" s="13">
        <v>228687045.72333312</v>
      </c>
      <c r="L5" s="13">
        <v>19992648.526249975</v>
      </c>
      <c r="M5" s="13">
        <v>17100587.338749975</v>
      </c>
      <c r="N5" s="197">
        <v>43831</v>
      </c>
      <c r="O5" s="16">
        <v>45658</v>
      </c>
      <c r="P5" s="13">
        <v>2117437.35</v>
      </c>
      <c r="Q5" s="242" t="e">
        <v>#VALUE!</v>
      </c>
    </row>
    <row r="6" spans="1:17" x14ac:dyDescent="0.2">
      <c r="A6" s="4" t="s">
        <v>35</v>
      </c>
      <c r="B6" s="13">
        <v>1469242870.97</v>
      </c>
      <c r="C6" s="13">
        <v>1295539677.97</v>
      </c>
      <c r="D6" s="13">
        <v>173703193</v>
      </c>
      <c r="E6" s="13">
        <v>18117853.25</v>
      </c>
      <c r="F6" s="13">
        <v>33073641</v>
      </c>
      <c r="G6" s="14">
        <v>5.25</v>
      </c>
      <c r="H6" s="14">
        <v>0.55000000000000004</v>
      </c>
      <c r="I6" s="13">
        <v>1509821.1041666667</v>
      </c>
      <c r="J6" s="15">
        <v>2</v>
      </c>
      <c r="K6" s="13">
        <v>170683550.79166666</v>
      </c>
      <c r="L6" s="13">
        <v>53777955.5</v>
      </c>
      <c r="M6" s="13">
        <v>45509545.25</v>
      </c>
      <c r="N6" s="197">
        <v>43647</v>
      </c>
      <c r="O6" s="16">
        <v>45474</v>
      </c>
      <c r="P6" s="13">
        <v>555922.87</v>
      </c>
      <c r="Q6" s="242" t="e">
        <v>#VALUE!</v>
      </c>
    </row>
    <row r="7" spans="1:17" x14ac:dyDescent="0.2">
      <c r="A7" s="4" t="s">
        <v>26</v>
      </c>
      <c r="B7" s="13">
        <v>1336273473.74</v>
      </c>
      <c r="C7" s="13">
        <v>1188709074.2</v>
      </c>
      <c r="D7" s="13">
        <v>147564399.53999996</v>
      </c>
      <c r="E7" s="13">
        <v>18706923.289999999</v>
      </c>
      <c r="F7" s="13">
        <v>29074134</v>
      </c>
      <c r="G7" s="14">
        <v>5.08</v>
      </c>
      <c r="H7" s="14">
        <v>0.64</v>
      </c>
      <c r="I7" s="13">
        <v>1558910.2741666667</v>
      </c>
      <c r="J7" s="15">
        <v>8</v>
      </c>
      <c r="K7" s="13">
        <v>135093117.34666663</v>
      </c>
      <c r="L7" s="13">
        <v>11177016.442499995</v>
      </c>
      <c r="M7" s="13">
        <v>9359883.0674999952</v>
      </c>
      <c r="N7" s="197">
        <v>43831</v>
      </c>
      <c r="O7" s="16">
        <v>45658</v>
      </c>
      <c r="P7" s="13">
        <v>2059878.03</v>
      </c>
      <c r="Q7" s="242" t="e">
        <v>#VALUE!</v>
      </c>
    </row>
    <row r="8" spans="1:17" x14ac:dyDescent="0.2">
      <c r="A8" s="4" t="s">
        <v>64</v>
      </c>
      <c r="B8" s="13">
        <v>120899760.39</v>
      </c>
      <c r="C8" s="13">
        <v>104420230.43000001</v>
      </c>
      <c r="D8" s="13">
        <v>16479529.959999993</v>
      </c>
      <c r="E8" s="13">
        <v>1752823.16</v>
      </c>
      <c r="F8" s="13">
        <v>3521015</v>
      </c>
      <c r="G8" s="14">
        <v>4.68</v>
      </c>
      <c r="H8" s="14">
        <v>0.5</v>
      </c>
      <c r="I8" s="13">
        <v>146068.59666666665</v>
      </c>
      <c r="J8" s="15">
        <v>8</v>
      </c>
      <c r="K8" s="13">
        <v>15310981.18666666</v>
      </c>
      <c r="L8" s="13">
        <v>1179687.4949999992</v>
      </c>
      <c r="M8" s="13">
        <v>959624.05749999918</v>
      </c>
      <c r="N8" s="197">
        <v>43831</v>
      </c>
      <c r="O8" s="16">
        <v>45658</v>
      </c>
      <c r="P8" s="13">
        <v>25360.32</v>
      </c>
      <c r="Q8" s="242" t="e">
        <v>#VALUE!</v>
      </c>
    </row>
    <row r="9" spans="1:17" x14ac:dyDescent="0.2">
      <c r="A9" s="4" t="s">
        <v>44</v>
      </c>
      <c r="B9" s="13">
        <v>493558716</v>
      </c>
      <c r="C9" s="13">
        <v>445737803.64999998</v>
      </c>
      <c r="D9" s="13">
        <v>47820912.350000024</v>
      </c>
      <c r="E9" s="13">
        <v>6955540</v>
      </c>
      <c r="F9" s="13">
        <v>11038481</v>
      </c>
      <c r="G9" s="14">
        <v>4.33</v>
      </c>
      <c r="H9" s="14">
        <v>0.63</v>
      </c>
      <c r="I9" s="13">
        <v>579628.33333333337</v>
      </c>
      <c r="J9" s="15">
        <v>8</v>
      </c>
      <c r="K9" s="13">
        <v>43183885.68333336</v>
      </c>
      <c r="L9" s="13">
        <v>3217993.793750003</v>
      </c>
      <c r="M9" s="13">
        <v>2528088.731250003</v>
      </c>
      <c r="N9" s="197">
        <v>43831</v>
      </c>
      <c r="O9" s="16">
        <v>45658</v>
      </c>
      <c r="P9" s="13">
        <v>0</v>
      </c>
      <c r="Q9" s="242" t="e">
        <v>#VALUE!</v>
      </c>
    </row>
    <row r="10" spans="1:17" x14ac:dyDescent="0.2">
      <c r="A10" s="4" t="s">
        <v>36</v>
      </c>
      <c r="B10" s="13">
        <v>853256279</v>
      </c>
      <c r="C10" s="13">
        <v>774760480.63</v>
      </c>
      <c r="D10" s="13">
        <v>78495798.370000005</v>
      </c>
      <c r="E10" s="13">
        <v>17940835.100000001</v>
      </c>
      <c r="F10" s="13">
        <v>18836467</v>
      </c>
      <c r="G10" s="14">
        <v>4.17</v>
      </c>
      <c r="H10" s="14">
        <v>0.95</v>
      </c>
      <c r="I10" s="13">
        <v>1495069.5916666668</v>
      </c>
      <c r="J10" s="15">
        <v>5</v>
      </c>
      <c r="K10" s="13">
        <v>71020450.411666676</v>
      </c>
      <c r="L10" s="13">
        <v>8164572.8740000008</v>
      </c>
      <c r="M10" s="13">
        <v>6280926.1740000006</v>
      </c>
      <c r="N10" s="197">
        <v>43739</v>
      </c>
      <c r="O10" s="16">
        <v>45566</v>
      </c>
      <c r="P10" s="13">
        <v>4539.4799999999996</v>
      </c>
      <c r="Q10" s="242" t="e">
        <v>#VALUE!</v>
      </c>
    </row>
    <row r="11" spans="1:17" x14ac:dyDescent="0.2">
      <c r="A11" s="4" t="s">
        <v>39</v>
      </c>
      <c r="B11" s="13">
        <v>265120500</v>
      </c>
      <c r="C11" s="13">
        <v>239466290.30000001</v>
      </c>
      <c r="D11" s="13">
        <v>25654209.699999988</v>
      </c>
      <c r="E11" s="13">
        <v>8415397.6799999997</v>
      </c>
      <c r="F11" s="13">
        <v>6172506</v>
      </c>
      <c r="G11" s="14">
        <v>4.16</v>
      </c>
      <c r="H11" s="14">
        <v>1.36</v>
      </c>
      <c r="I11" s="13">
        <v>701283.14</v>
      </c>
      <c r="J11" s="15">
        <v>0</v>
      </c>
      <c r="K11" s="13">
        <v>25654209.699999988</v>
      </c>
      <c r="L11" s="13" t="s">
        <v>193</v>
      </c>
      <c r="M11" s="13" t="s">
        <v>193</v>
      </c>
      <c r="N11" s="197">
        <v>43922</v>
      </c>
      <c r="O11" s="16">
        <v>45383</v>
      </c>
      <c r="P11" s="13">
        <v>441289.27</v>
      </c>
      <c r="Q11" s="242" t="e">
        <v>#VALUE!</v>
      </c>
    </row>
    <row r="12" spans="1:17" x14ac:dyDescent="0.2">
      <c r="A12" s="4" t="s">
        <v>53</v>
      </c>
      <c r="B12" s="13">
        <v>203184695.25999999</v>
      </c>
      <c r="C12" s="13">
        <v>179655260.22</v>
      </c>
      <c r="D12" s="13">
        <v>23529435.039999992</v>
      </c>
      <c r="E12" s="13">
        <v>6298022.5899999999</v>
      </c>
      <c r="F12" s="13">
        <v>5655134</v>
      </c>
      <c r="G12" s="14">
        <v>4.16</v>
      </c>
      <c r="H12" s="14">
        <v>1.1100000000000001</v>
      </c>
      <c r="I12" s="13">
        <v>524835.21583333332</v>
      </c>
      <c r="J12" s="15">
        <v>2</v>
      </c>
      <c r="K12" s="13">
        <v>22479764.608333327</v>
      </c>
      <c r="L12" s="13">
        <v>6109583.5199999958</v>
      </c>
      <c r="M12" s="13">
        <v>4695800.0199999958</v>
      </c>
      <c r="N12" s="197">
        <v>43647</v>
      </c>
      <c r="O12" s="16">
        <v>45474</v>
      </c>
      <c r="P12" s="13">
        <v>383003.13</v>
      </c>
      <c r="Q12" s="242" t="e">
        <v>#VALUE!</v>
      </c>
    </row>
    <row r="13" spans="1:17" x14ac:dyDescent="0.2">
      <c r="A13" s="4" t="s">
        <v>52</v>
      </c>
      <c r="B13" s="13">
        <v>1945106991</v>
      </c>
      <c r="C13" s="13">
        <v>1853572553.79</v>
      </c>
      <c r="D13" s="13">
        <v>91534437.210000038</v>
      </c>
      <c r="E13" s="13">
        <v>21724265.789999999</v>
      </c>
      <c r="F13" s="13">
        <v>22131554</v>
      </c>
      <c r="G13" s="14">
        <v>4.1399999999999997</v>
      </c>
      <c r="H13" s="14">
        <v>0.98</v>
      </c>
      <c r="I13" s="13">
        <v>1810355.4824999999</v>
      </c>
      <c r="J13" s="15">
        <v>2</v>
      </c>
      <c r="K13" s="13">
        <v>87913726.245000035</v>
      </c>
      <c r="L13" s="13">
        <v>23635664.605000019</v>
      </c>
      <c r="M13" s="13">
        <v>18102776.105000019</v>
      </c>
      <c r="N13" s="197">
        <v>43647</v>
      </c>
      <c r="O13" s="16">
        <v>45474</v>
      </c>
      <c r="P13" s="13">
        <v>1701498.13</v>
      </c>
      <c r="Q13" s="242" t="e">
        <v>#VALUE!</v>
      </c>
    </row>
    <row r="14" spans="1:17" x14ac:dyDescent="0.2">
      <c r="A14" s="4" t="s">
        <v>47</v>
      </c>
      <c r="B14" s="13">
        <v>187480557</v>
      </c>
      <c r="C14" s="13">
        <v>173244238.41</v>
      </c>
      <c r="D14" s="13">
        <v>14236318.590000004</v>
      </c>
      <c r="E14" s="13">
        <v>2906394.26</v>
      </c>
      <c r="F14" s="13">
        <v>3515583</v>
      </c>
      <c r="G14" s="14">
        <v>4.05</v>
      </c>
      <c r="H14" s="14">
        <v>0.83</v>
      </c>
      <c r="I14" s="13">
        <v>242199.52166666664</v>
      </c>
      <c r="J14" s="15">
        <v>2</v>
      </c>
      <c r="K14" s="13">
        <v>13751919.546666671</v>
      </c>
      <c r="L14" s="13">
        <v>3602576.2950000018</v>
      </c>
      <c r="M14" s="13">
        <v>2723680.5450000018</v>
      </c>
      <c r="N14" s="197">
        <v>43647</v>
      </c>
      <c r="O14" s="16">
        <v>45474</v>
      </c>
      <c r="P14" s="13">
        <v>501765.35</v>
      </c>
      <c r="Q14" s="242" t="e">
        <v>#VALUE!</v>
      </c>
    </row>
    <row r="15" spans="1:17" x14ac:dyDescent="0.2">
      <c r="A15" s="4" t="s">
        <v>30</v>
      </c>
      <c r="B15" s="13">
        <v>1168142277.4400001</v>
      </c>
      <c r="C15" s="13">
        <v>1062199991.79</v>
      </c>
      <c r="D15" s="13">
        <v>105942285.6500001</v>
      </c>
      <c r="E15" s="13">
        <v>19650399.800000001</v>
      </c>
      <c r="F15" s="13">
        <v>26355588</v>
      </c>
      <c r="G15" s="14">
        <v>4.0199999999999996</v>
      </c>
      <c r="H15" s="14">
        <v>0.75</v>
      </c>
      <c r="I15" s="13">
        <v>1637533.3166666667</v>
      </c>
      <c r="J15" s="15">
        <v>2</v>
      </c>
      <c r="K15" s="13">
        <v>102667219.01666676</v>
      </c>
      <c r="L15" s="13">
        <v>26615554.825000048</v>
      </c>
      <c r="M15" s="13">
        <v>20026657.825000048</v>
      </c>
      <c r="N15" s="197">
        <v>43647</v>
      </c>
      <c r="O15" s="16">
        <v>45474</v>
      </c>
      <c r="P15" s="13">
        <v>2281225</v>
      </c>
      <c r="Q15" s="242" t="e">
        <v>#VALUE!</v>
      </c>
    </row>
    <row r="16" spans="1:17" x14ac:dyDescent="0.2">
      <c r="A16" s="4" t="s">
        <v>19</v>
      </c>
      <c r="B16" s="13">
        <v>1438428739.9100001</v>
      </c>
      <c r="C16" s="13">
        <v>1319002773.04</v>
      </c>
      <c r="D16" s="13">
        <v>119425966.87000012</v>
      </c>
      <c r="E16" s="13">
        <v>25078653.449999999</v>
      </c>
      <c r="F16" s="13">
        <v>30065955</v>
      </c>
      <c r="G16" s="14">
        <v>3.97</v>
      </c>
      <c r="H16" s="14">
        <v>0.83</v>
      </c>
      <c r="I16" s="13">
        <v>2089887.7874999999</v>
      </c>
      <c r="J16" s="15">
        <v>2</v>
      </c>
      <c r="K16" s="13">
        <v>115246191.29500012</v>
      </c>
      <c r="L16" s="13">
        <v>29647028.435000062</v>
      </c>
      <c r="M16" s="13">
        <v>22130539.685000062</v>
      </c>
      <c r="N16" s="197">
        <v>43647</v>
      </c>
      <c r="O16" s="16">
        <v>45474</v>
      </c>
      <c r="P16" s="13">
        <v>1972955.71</v>
      </c>
      <c r="Q16" s="242" t="e">
        <v>#VALUE!</v>
      </c>
    </row>
    <row r="17" spans="1:17" x14ac:dyDescent="0.2">
      <c r="A17" s="4" t="s">
        <v>18</v>
      </c>
      <c r="B17" s="13">
        <v>800464324.92999995</v>
      </c>
      <c r="C17" s="13">
        <v>731996512.84000003</v>
      </c>
      <c r="D17" s="13">
        <v>68467812.089999914</v>
      </c>
      <c r="E17" s="13">
        <v>19580684.140000001</v>
      </c>
      <c r="F17" s="13">
        <v>17480755</v>
      </c>
      <c r="G17" s="14">
        <v>3.92</v>
      </c>
      <c r="H17" s="14">
        <v>1.1200000000000001</v>
      </c>
      <c r="I17" s="13">
        <v>1631723.6783333335</v>
      </c>
      <c r="J17" s="15">
        <v>2</v>
      </c>
      <c r="K17" s="13">
        <v>65204364.733333245</v>
      </c>
      <c r="L17" s="13">
        <v>16753151.044999957</v>
      </c>
      <c r="M17" s="13">
        <v>12382962.294999957</v>
      </c>
      <c r="N17" s="197">
        <v>43647</v>
      </c>
      <c r="O17" s="16">
        <v>45474</v>
      </c>
      <c r="P17" s="13">
        <v>1142733.78</v>
      </c>
      <c r="Q17" s="242" t="e">
        <v>#VALUE!</v>
      </c>
    </row>
    <row r="18" spans="1:17" x14ac:dyDescent="0.2">
      <c r="A18" s="4" t="s">
        <v>60</v>
      </c>
      <c r="B18" s="13">
        <v>794219275</v>
      </c>
      <c r="C18" s="13">
        <v>720031818.57000005</v>
      </c>
      <c r="D18" s="13">
        <v>74187456.429999948</v>
      </c>
      <c r="E18" s="13">
        <v>14606986.689999999</v>
      </c>
      <c r="F18" s="13">
        <v>19107637</v>
      </c>
      <c r="G18" s="14">
        <v>3.88</v>
      </c>
      <c r="H18" s="14">
        <v>0.76</v>
      </c>
      <c r="I18" s="13">
        <v>1217248.8908333334</v>
      </c>
      <c r="J18" s="15">
        <v>2</v>
      </c>
      <c r="K18" s="13">
        <v>71752958.648333281</v>
      </c>
      <c r="L18" s="13">
        <v>17986091.214999974</v>
      </c>
      <c r="M18" s="13">
        <v>13209181.964999974</v>
      </c>
      <c r="N18" s="197">
        <v>43647</v>
      </c>
      <c r="O18" s="16">
        <v>45474</v>
      </c>
      <c r="P18" s="13">
        <v>925476.32</v>
      </c>
      <c r="Q18" s="242" t="e">
        <v>#VALUE!</v>
      </c>
    </row>
    <row r="19" spans="1:17" x14ac:dyDescent="0.2">
      <c r="A19" s="4" t="s">
        <v>54</v>
      </c>
      <c r="B19" s="13">
        <v>1022430792.45</v>
      </c>
      <c r="C19" s="13">
        <v>947483327.03999996</v>
      </c>
      <c r="D19" s="13">
        <v>74947465.410000086</v>
      </c>
      <c r="E19" s="13">
        <v>25472915.18</v>
      </c>
      <c r="F19" s="13">
        <v>19809810</v>
      </c>
      <c r="G19" s="14">
        <v>3.78</v>
      </c>
      <c r="H19" s="14">
        <v>1.29</v>
      </c>
      <c r="I19" s="13">
        <v>2122742.9316666666</v>
      </c>
      <c r="J19" s="15">
        <v>0</v>
      </c>
      <c r="K19" s="13">
        <v>74947465.410000086</v>
      </c>
      <c r="L19" s="13" t="s">
        <v>193</v>
      </c>
      <c r="M19" s="13" t="s">
        <v>193</v>
      </c>
      <c r="N19" s="197">
        <v>43922</v>
      </c>
      <c r="O19" s="16">
        <v>45383</v>
      </c>
      <c r="P19" s="13">
        <v>1560720.81</v>
      </c>
      <c r="Q19" s="242" t="e">
        <v>#VALUE!</v>
      </c>
    </row>
    <row r="20" spans="1:17" x14ac:dyDescent="0.2">
      <c r="A20" s="4" t="s">
        <v>40</v>
      </c>
      <c r="B20" s="13">
        <v>500565228.91000003</v>
      </c>
      <c r="C20" s="13">
        <v>460886200.97000003</v>
      </c>
      <c r="D20" s="13">
        <v>39679027.939999998</v>
      </c>
      <c r="E20" s="13">
        <v>6394968.0499999998</v>
      </c>
      <c r="F20" s="13">
        <v>10539100</v>
      </c>
      <c r="G20" s="14">
        <v>3.76</v>
      </c>
      <c r="H20" s="14">
        <v>0.61</v>
      </c>
      <c r="I20" s="13">
        <v>532914.00416666665</v>
      </c>
      <c r="J20" s="15">
        <v>2</v>
      </c>
      <c r="K20" s="13">
        <v>38613199.931666665</v>
      </c>
      <c r="L20" s="13">
        <v>9300413.9699999988</v>
      </c>
      <c r="M20" s="13">
        <v>6665638.9699999988</v>
      </c>
      <c r="N20" s="197">
        <v>43647</v>
      </c>
      <c r="O20" s="16">
        <v>45474</v>
      </c>
      <c r="P20" s="13">
        <v>251429.02</v>
      </c>
      <c r="Q20" s="242" t="e">
        <v>#VALUE!</v>
      </c>
    </row>
    <row r="21" spans="1:17" x14ac:dyDescent="0.2">
      <c r="A21" s="4" t="s">
        <v>43</v>
      </c>
      <c r="B21" s="13">
        <v>300551063.33999997</v>
      </c>
      <c r="C21" s="13">
        <v>276151015.33999997</v>
      </c>
      <c r="D21" s="13">
        <v>24400048</v>
      </c>
      <c r="E21" s="13">
        <v>9974924.4399999995</v>
      </c>
      <c r="F21" s="13">
        <v>6730317</v>
      </c>
      <c r="G21" s="14">
        <v>3.63</v>
      </c>
      <c r="H21" s="14">
        <v>1.48</v>
      </c>
      <c r="I21" s="13">
        <v>831243.70333333325</v>
      </c>
      <c r="J21" s="15">
        <v>2</v>
      </c>
      <c r="K21" s="13">
        <v>22737560.593333334</v>
      </c>
      <c r="L21" s="13">
        <v>5469707</v>
      </c>
      <c r="M21" s="13">
        <v>3787127.75</v>
      </c>
      <c r="N21" s="197">
        <v>43647</v>
      </c>
      <c r="O21" s="16">
        <v>45474</v>
      </c>
      <c r="P21" s="13">
        <v>490435.59</v>
      </c>
      <c r="Q21" s="242" t="e">
        <v>#VALUE!</v>
      </c>
    </row>
    <row r="22" spans="1:17" x14ac:dyDescent="0.2">
      <c r="A22" s="4" t="s">
        <v>16</v>
      </c>
      <c r="B22" s="13">
        <v>104394118</v>
      </c>
      <c r="C22" s="13">
        <v>95218267.590000004</v>
      </c>
      <c r="D22" s="13">
        <v>9175850.4099999964</v>
      </c>
      <c r="E22" s="13">
        <v>2293247.4300000002</v>
      </c>
      <c r="F22" s="13">
        <v>2677355</v>
      </c>
      <c r="G22" s="14">
        <v>3.43</v>
      </c>
      <c r="H22" s="14">
        <v>0.86</v>
      </c>
      <c r="I22" s="13">
        <v>191103.95250000001</v>
      </c>
      <c r="J22" s="15">
        <v>2</v>
      </c>
      <c r="K22" s="13">
        <v>8793642.5049999971</v>
      </c>
      <c r="L22" s="13">
        <v>1910570.2049999982</v>
      </c>
      <c r="M22" s="13">
        <v>1241231.4549999982</v>
      </c>
      <c r="N22" s="197">
        <v>43647</v>
      </c>
      <c r="O22" s="16">
        <v>45474</v>
      </c>
      <c r="P22" s="13">
        <v>99624.39</v>
      </c>
      <c r="Q22" s="242" t="e">
        <v>#VALUE!</v>
      </c>
    </row>
    <row r="23" spans="1:17" x14ac:dyDescent="0.2">
      <c r="A23" s="4" t="s">
        <v>38</v>
      </c>
      <c r="B23" s="13">
        <v>1010324720</v>
      </c>
      <c r="C23" s="13">
        <v>932029022.07000005</v>
      </c>
      <c r="D23" s="13">
        <v>78295697.929999948</v>
      </c>
      <c r="E23" s="13">
        <v>32446648.989999998</v>
      </c>
      <c r="F23" s="13">
        <v>23059848</v>
      </c>
      <c r="G23" s="14">
        <v>3.4</v>
      </c>
      <c r="H23" s="14">
        <v>1.41</v>
      </c>
      <c r="I23" s="13">
        <v>2703887.415833333</v>
      </c>
      <c r="J23" s="15">
        <v>0</v>
      </c>
      <c r="K23" s="13">
        <v>78295697.929999948</v>
      </c>
      <c r="L23" s="13" t="s">
        <v>193</v>
      </c>
      <c r="M23" s="13" t="s">
        <v>193</v>
      </c>
      <c r="N23" s="197">
        <v>43922</v>
      </c>
      <c r="O23" s="16">
        <v>45383</v>
      </c>
      <c r="P23" s="13">
        <v>3299965.2</v>
      </c>
      <c r="Q23" s="242" t="e">
        <v>#VALUE!</v>
      </c>
    </row>
    <row r="24" spans="1:17" x14ac:dyDescent="0.2">
      <c r="A24" s="4" t="s">
        <v>55</v>
      </c>
      <c r="B24" s="13">
        <v>254239457</v>
      </c>
      <c r="C24" s="13">
        <v>235109849.94</v>
      </c>
      <c r="D24" s="13">
        <v>19129607.060000002</v>
      </c>
      <c r="E24" s="13">
        <v>6606225.0300000003</v>
      </c>
      <c r="F24" s="13">
        <v>5680880</v>
      </c>
      <c r="G24" s="14">
        <v>3.37</v>
      </c>
      <c r="H24" s="14">
        <v>1.1599999999999999</v>
      </c>
      <c r="I24" s="13">
        <v>550518.75250000006</v>
      </c>
      <c r="J24" s="15">
        <v>8</v>
      </c>
      <c r="K24" s="13">
        <v>14725457.040000003</v>
      </c>
      <c r="L24" s="13">
        <v>970980.8825000003</v>
      </c>
      <c r="M24" s="13">
        <v>615925.8825000003</v>
      </c>
      <c r="N24" s="197">
        <v>43831</v>
      </c>
      <c r="O24" s="16">
        <v>45658</v>
      </c>
      <c r="P24" s="13">
        <v>0</v>
      </c>
      <c r="Q24" s="242" t="e">
        <v>#VALUE!</v>
      </c>
    </row>
    <row r="25" spans="1:17" x14ac:dyDescent="0.2">
      <c r="A25" s="4" t="s">
        <v>51</v>
      </c>
      <c r="B25" s="13">
        <v>2001064841.29</v>
      </c>
      <c r="C25" s="13">
        <v>1871734832.1199999</v>
      </c>
      <c r="D25" s="13">
        <v>129330009.17000008</v>
      </c>
      <c r="E25" s="13">
        <v>38379000.740000002</v>
      </c>
      <c r="F25" s="13">
        <v>40779947</v>
      </c>
      <c r="G25" s="14">
        <v>3.17</v>
      </c>
      <c r="H25" s="14">
        <v>0.94</v>
      </c>
      <c r="I25" s="13">
        <v>3198250.061666667</v>
      </c>
      <c r="J25" s="15">
        <v>8</v>
      </c>
      <c r="K25" s="13">
        <v>103744008.67666674</v>
      </c>
      <c r="L25" s="13">
        <v>5971264.3962500095</v>
      </c>
      <c r="M25" s="13">
        <v>3422517.7087500095</v>
      </c>
      <c r="N25" s="197">
        <v>43831</v>
      </c>
      <c r="O25" s="16">
        <v>45658</v>
      </c>
      <c r="P25" s="13">
        <v>1783541.24</v>
      </c>
      <c r="Q25" s="242" t="e">
        <v>#VALUE!</v>
      </c>
    </row>
    <row r="26" spans="1:17" x14ac:dyDescent="0.2">
      <c r="A26" s="4" t="s">
        <v>28</v>
      </c>
      <c r="B26" s="13">
        <v>1059732308</v>
      </c>
      <c r="C26" s="13">
        <v>983655500.99000001</v>
      </c>
      <c r="D26" s="13">
        <v>76076807.00999999</v>
      </c>
      <c r="E26" s="13">
        <v>16097860.640000001</v>
      </c>
      <c r="F26" s="13">
        <v>24168777</v>
      </c>
      <c r="G26" s="14">
        <v>3.15</v>
      </c>
      <c r="H26" s="14">
        <v>0.67</v>
      </c>
      <c r="I26" s="13">
        <v>1341488.3866666667</v>
      </c>
      <c r="J26" s="15">
        <v>8</v>
      </c>
      <c r="K26" s="13">
        <v>65344899.916666657</v>
      </c>
      <c r="L26" s="13">
        <v>3467406.6262499988</v>
      </c>
      <c r="M26" s="13">
        <v>1956858.0637499988</v>
      </c>
      <c r="N26" s="197">
        <v>43831</v>
      </c>
      <c r="O26" s="16">
        <v>45658</v>
      </c>
      <c r="P26" s="13">
        <v>1131808.49</v>
      </c>
      <c r="Q26" s="242" t="e">
        <v>#VALUE!</v>
      </c>
    </row>
    <row r="27" spans="1:17" x14ac:dyDescent="0.2">
      <c r="A27" s="4" t="s">
        <v>45</v>
      </c>
      <c r="B27" s="13">
        <v>1228777673.53</v>
      </c>
      <c r="C27" s="13">
        <v>1083070291.99</v>
      </c>
      <c r="D27" s="13">
        <v>145707381.53999996</v>
      </c>
      <c r="E27" s="13">
        <v>57144061.140000001</v>
      </c>
      <c r="F27" s="13">
        <v>47456120</v>
      </c>
      <c r="G27" s="14">
        <v>3.07</v>
      </c>
      <c r="H27" s="14">
        <v>1.2</v>
      </c>
      <c r="I27" s="13">
        <v>4762005.0949999997</v>
      </c>
      <c r="J27" s="15">
        <v>8</v>
      </c>
      <c r="K27" s="13">
        <v>107611340.77999997</v>
      </c>
      <c r="L27" s="13">
        <v>6349392.6924999952</v>
      </c>
      <c r="M27" s="13" t="s">
        <v>192</v>
      </c>
      <c r="N27" s="197">
        <v>43831</v>
      </c>
      <c r="O27" s="16">
        <v>45658</v>
      </c>
      <c r="P27" s="13">
        <v>1584670.13</v>
      </c>
      <c r="Q27" s="242" t="e">
        <v>#VALUE!</v>
      </c>
    </row>
    <row r="28" spans="1:17" x14ac:dyDescent="0.2">
      <c r="A28" s="4" t="s">
        <v>37</v>
      </c>
      <c r="B28" s="13">
        <v>1239472339.1700001</v>
      </c>
      <c r="C28" s="13">
        <v>1166612106.3199999</v>
      </c>
      <c r="D28" s="13">
        <v>72860232.850000143</v>
      </c>
      <c r="E28" s="13">
        <v>21930084.09</v>
      </c>
      <c r="F28" s="13">
        <v>24088947</v>
      </c>
      <c r="G28" s="14">
        <v>3.02</v>
      </c>
      <c r="H28" s="14">
        <v>0.91</v>
      </c>
      <c r="I28" s="13">
        <v>1827507.0075000001</v>
      </c>
      <c r="J28" s="15">
        <v>2</v>
      </c>
      <c r="K28" s="13">
        <v>69205218.835000142</v>
      </c>
      <c r="L28" s="13">
        <v>12341169.425000072</v>
      </c>
      <c r="M28" s="13">
        <v>6318932.6750000715</v>
      </c>
      <c r="N28" s="197">
        <v>43647</v>
      </c>
      <c r="O28" s="16">
        <v>45474</v>
      </c>
      <c r="P28" s="13">
        <v>2029324.69</v>
      </c>
      <c r="Q28" s="242" t="e">
        <v>#VALUE!</v>
      </c>
    </row>
    <row r="29" spans="1:17" x14ac:dyDescent="0.2">
      <c r="A29" s="4" t="s">
        <v>24</v>
      </c>
      <c r="B29" s="13">
        <v>1642297566.0699999</v>
      </c>
      <c r="C29" s="13">
        <v>1518932953.03</v>
      </c>
      <c r="D29" s="13">
        <v>123364613.03999996</v>
      </c>
      <c r="E29" s="13">
        <v>38721427.710000001</v>
      </c>
      <c r="F29" s="13">
        <v>40984884</v>
      </c>
      <c r="G29" s="14">
        <v>3.01</v>
      </c>
      <c r="H29" s="14">
        <v>0.94</v>
      </c>
      <c r="I29" s="13">
        <v>3226785.6425000001</v>
      </c>
      <c r="J29" s="15">
        <v>2</v>
      </c>
      <c r="K29" s="13">
        <v>116911041.75499997</v>
      </c>
      <c r="L29" s="13">
        <v>20697422.519999981</v>
      </c>
      <c r="M29" s="13">
        <v>10451201.519999981</v>
      </c>
      <c r="N29" s="197">
        <v>43647</v>
      </c>
      <c r="O29" s="16">
        <v>45474</v>
      </c>
      <c r="P29" s="13">
        <v>3715355.44</v>
      </c>
      <c r="Q29" s="242" t="e">
        <v>#VALUE!</v>
      </c>
    </row>
    <row r="30" spans="1:17" x14ac:dyDescent="0.2">
      <c r="A30" s="4" t="s">
        <v>33</v>
      </c>
      <c r="B30" s="13">
        <v>314446387.48000002</v>
      </c>
      <c r="C30" s="13">
        <v>289249256.57999998</v>
      </c>
      <c r="D30" s="13">
        <v>25197130.900000036</v>
      </c>
      <c r="E30" s="13">
        <v>9312317.7400000002</v>
      </c>
      <c r="F30" s="13">
        <v>8369791</v>
      </c>
      <c r="G30" s="14">
        <v>3.01</v>
      </c>
      <c r="H30" s="14">
        <v>1.1100000000000001</v>
      </c>
      <c r="I30" s="13">
        <v>776026.47833333339</v>
      </c>
      <c r="J30" s="15">
        <v>2</v>
      </c>
      <c r="K30" s="13">
        <v>23645077.943333369</v>
      </c>
      <c r="L30" s="13">
        <v>4228774.4500000179</v>
      </c>
      <c r="M30" s="13">
        <v>2136326.7000000179</v>
      </c>
      <c r="N30" s="197">
        <v>43647</v>
      </c>
      <c r="O30" s="16">
        <v>45474</v>
      </c>
      <c r="P30" s="13">
        <v>559196.82999999996</v>
      </c>
      <c r="Q30" s="242" t="e">
        <v>#VALUE!</v>
      </c>
    </row>
    <row r="31" spans="1:17" x14ac:dyDescent="0.2">
      <c r="A31" s="4" t="s">
        <v>20</v>
      </c>
      <c r="B31" s="13">
        <v>392634217.93000001</v>
      </c>
      <c r="C31" s="13">
        <v>365776311.12</v>
      </c>
      <c r="D31" s="13">
        <v>26857906.810000002</v>
      </c>
      <c r="E31" s="13">
        <v>16864798.620000001</v>
      </c>
      <c r="F31" s="13">
        <v>9305817</v>
      </c>
      <c r="G31" s="14">
        <v>2.89</v>
      </c>
      <c r="H31" s="14">
        <v>1.81</v>
      </c>
      <c r="I31" s="13">
        <v>1405399.885</v>
      </c>
      <c r="J31" s="15">
        <v>0</v>
      </c>
      <c r="K31" s="13">
        <v>26857906.810000002</v>
      </c>
      <c r="L31" s="13" t="s">
        <v>193</v>
      </c>
      <c r="M31" s="13" t="s">
        <v>193</v>
      </c>
      <c r="N31" s="197">
        <v>43556</v>
      </c>
      <c r="O31" s="16">
        <v>45383</v>
      </c>
      <c r="P31" s="13">
        <v>320757.27</v>
      </c>
      <c r="Q31" s="242" t="e">
        <v>#VALUE!</v>
      </c>
    </row>
    <row r="32" spans="1:17" x14ac:dyDescent="0.2">
      <c r="A32" s="4" t="s">
        <v>29</v>
      </c>
      <c r="B32" s="13">
        <v>675052951</v>
      </c>
      <c r="C32" s="13">
        <v>632552205.62</v>
      </c>
      <c r="D32" s="13">
        <v>42500745.379999995</v>
      </c>
      <c r="E32" s="13">
        <v>10660434.15</v>
      </c>
      <c r="F32" s="13">
        <v>14786581</v>
      </c>
      <c r="G32" s="14">
        <v>2.87</v>
      </c>
      <c r="H32" s="14">
        <v>0.72</v>
      </c>
      <c r="I32" s="13">
        <v>888369.51250000007</v>
      </c>
      <c r="J32" s="15">
        <v>8</v>
      </c>
      <c r="K32" s="13">
        <v>35393789.279999994</v>
      </c>
      <c r="L32" s="13">
        <v>1615947.9224999994</v>
      </c>
      <c r="M32" s="13" t="s">
        <v>192</v>
      </c>
      <c r="N32" s="197">
        <v>43466</v>
      </c>
      <c r="O32" s="16">
        <v>45658</v>
      </c>
      <c r="P32" s="13">
        <v>335609.46</v>
      </c>
      <c r="Q32" s="242" t="e">
        <v>#VALUE!</v>
      </c>
    </row>
    <row r="33" spans="1:17" x14ac:dyDescent="0.2">
      <c r="A33" s="4" t="s">
        <v>56</v>
      </c>
      <c r="B33" s="13">
        <v>1154905413</v>
      </c>
      <c r="C33" s="13">
        <v>1078186850.8699999</v>
      </c>
      <c r="D33" s="13">
        <v>76718562.130000114</v>
      </c>
      <c r="E33" s="13">
        <v>24333206.989999998</v>
      </c>
      <c r="F33" s="13">
        <v>27571438</v>
      </c>
      <c r="G33" s="14">
        <v>2.78</v>
      </c>
      <c r="H33" s="14">
        <v>0.88</v>
      </c>
      <c r="I33" s="13">
        <v>2027767.2491666665</v>
      </c>
      <c r="J33" s="15">
        <v>2</v>
      </c>
      <c r="K33" s="13">
        <v>72663027.63166678</v>
      </c>
      <c r="L33" s="13">
        <v>10787843.065000057</v>
      </c>
      <c r="M33" s="13">
        <v>3894983.5650000572</v>
      </c>
      <c r="N33" s="197">
        <v>43647</v>
      </c>
      <c r="O33" s="16">
        <v>45474</v>
      </c>
      <c r="P33" s="13">
        <v>2405753.4500000002</v>
      </c>
      <c r="Q33" s="242" t="e">
        <v>#VALUE!</v>
      </c>
    </row>
    <row r="34" spans="1:17" x14ac:dyDescent="0.2">
      <c r="A34" s="4" t="s">
        <v>21</v>
      </c>
      <c r="B34" s="13">
        <v>528328839.02999997</v>
      </c>
      <c r="C34" s="13">
        <v>490180864.73000002</v>
      </c>
      <c r="D34" s="13">
        <v>38147974.299999952</v>
      </c>
      <c r="E34" s="13">
        <v>21700267.129999999</v>
      </c>
      <c r="F34" s="13">
        <v>13880022</v>
      </c>
      <c r="G34" s="14">
        <v>2.75</v>
      </c>
      <c r="H34" s="14">
        <v>1.56</v>
      </c>
      <c r="I34" s="13">
        <v>1808355.5941666665</v>
      </c>
      <c r="J34" s="15">
        <v>2</v>
      </c>
      <c r="K34" s="13">
        <v>34531263.11166662</v>
      </c>
      <c r="L34" s="13">
        <v>5193965.1499999762</v>
      </c>
      <c r="M34" s="13" t="s">
        <v>192</v>
      </c>
      <c r="N34" s="197">
        <v>43647</v>
      </c>
      <c r="O34" s="16">
        <v>45474</v>
      </c>
      <c r="P34" s="13">
        <v>5162504.67</v>
      </c>
      <c r="Q34" s="242" t="e">
        <v>#VALUE!</v>
      </c>
    </row>
    <row r="35" spans="1:17" x14ac:dyDescent="0.2">
      <c r="A35" s="4" t="s">
        <v>57</v>
      </c>
      <c r="B35" s="13">
        <v>2879313105.54</v>
      </c>
      <c r="C35" s="13">
        <v>2694028572.3299999</v>
      </c>
      <c r="D35" s="13">
        <v>185284533.21000004</v>
      </c>
      <c r="E35" s="13">
        <v>78626299.370000005</v>
      </c>
      <c r="F35" s="13">
        <v>70613641</v>
      </c>
      <c r="G35" s="14">
        <v>2.62</v>
      </c>
      <c r="H35" s="14">
        <v>1.1100000000000001</v>
      </c>
      <c r="I35" s="13">
        <v>6552191.6141666668</v>
      </c>
      <c r="J35" s="15">
        <v>4</v>
      </c>
      <c r="K35" s="13">
        <v>159075766.75333336</v>
      </c>
      <c r="L35" s="13">
        <v>11014312.80250001</v>
      </c>
      <c r="M35" s="13" t="s">
        <v>192</v>
      </c>
      <c r="N35" s="197">
        <v>44075</v>
      </c>
      <c r="O35" s="16">
        <v>45536</v>
      </c>
      <c r="P35" s="13">
        <v>2019074.83</v>
      </c>
      <c r="Q35" s="242" t="e">
        <v>#VALUE!</v>
      </c>
    </row>
    <row r="36" spans="1:17" x14ac:dyDescent="0.2">
      <c r="A36" s="4" t="s">
        <v>42</v>
      </c>
      <c r="B36" s="13">
        <v>346058940</v>
      </c>
      <c r="C36" s="13">
        <v>321701307.72000003</v>
      </c>
      <c r="D36" s="13">
        <v>24357632.279999971</v>
      </c>
      <c r="E36" s="13">
        <v>5257145.91</v>
      </c>
      <c r="F36" s="13">
        <v>9353201</v>
      </c>
      <c r="G36" s="14">
        <v>2.6</v>
      </c>
      <c r="H36" s="14">
        <v>0.56000000000000005</v>
      </c>
      <c r="I36" s="13">
        <v>438095.49249999999</v>
      </c>
      <c r="J36" s="15">
        <v>8</v>
      </c>
      <c r="K36" s="13">
        <v>20852868.33999997</v>
      </c>
      <c r="L36" s="13">
        <v>706403.78499999642</v>
      </c>
      <c r="M36" s="13" t="s">
        <v>192</v>
      </c>
      <c r="N36" s="197">
        <v>43831</v>
      </c>
      <c r="O36" s="16">
        <v>45658</v>
      </c>
      <c r="P36" s="13">
        <v>706510.38</v>
      </c>
      <c r="Q36" s="242" t="e">
        <v>#VALUE!</v>
      </c>
    </row>
    <row r="37" spans="1:17" x14ac:dyDescent="0.2">
      <c r="A37" s="4" t="s">
        <v>50</v>
      </c>
      <c r="B37" s="13">
        <v>545409679.30999994</v>
      </c>
      <c r="C37" s="13">
        <v>515350580.31</v>
      </c>
      <c r="D37" s="13">
        <v>30059098.99999994</v>
      </c>
      <c r="E37" s="13">
        <v>16339869.83</v>
      </c>
      <c r="F37" s="13">
        <v>11656242</v>
      </c>
      <c r="G37" s="14">
        <v>2.58</v>
      </c>
      <c r="H37" s="14">
        <v>1.4</v>
      </c>
      <c r="I37" s="13">
        <v>1361655.8191666666</v>
      </c>
      <c r="J37" s="15">
        <v>8</v>
      </c>
      <c r="K37" s="13">
        <v>19165852.446666606</v>
      </c>
      <c r="L37" s="13" t="s">
        <v>192</v>
      </c>
      <c r="M37" s="13" t="s">
        <v>192</v>
      </c>
      <c r="N37" s="197">
        <v>43831</v>
      </c>
      <c r="O37" s="16">
        <v>45658</v>
      </c>
      <c r="P37" s="13">
        <v>1227342</v>
      </c>
      <c r="Q37" s="242" t="e">
        <v>#VALUE!</v>
      </c>
    </row>
    <row r="38" spans="1:17" x14ac:dyDescent="0.2">
      <c r="A38" s="4" t="s">
        <v>61</v>
      </c>
      <c r="B38" s="13">
        <v>522049097</v>
      </c>
      <c r="C38" s="13">
        <v>488267360.72000003</v>
      </c>
      <c r="D38" s="13">
        <v>33781736.279999971</v>
      </c>
      <c r="E38" s="13">
        <v>15235681.91</v>
      </c>
      <c r="F38" s="13">
        <v>13105608</v>
      </c>
      <c r="G38" s="14">
        <v>2.58</v>
      </c>
      <c r="H38" s="14">
        <v>1.1599999999999999</v>
      </c>
      <c r="I38" s="13">
        <v>1269640.1591666667</v>
      </c>
      <c r="J38" s="15">
        <v>2</v>
      </c>
      <c r="K38" s="13">
        <v>31242455.961666636</v>
      </c>
      <c r="L38" s="13">
        <v>3785260.1399999857</v>
      </c>
      <c r="M38" s="13" t="s">
        <v>192</v>
      </c>
      <c r="N38" s="197">
        <v>43647</v>
      </c>
      <c r="O38" s="16">
        <v>45474</v>
      </c>
      <c r="P38" s="13">
        <v>850839.18</v>
      </c>
      <c r="Q38" s="242" t="e">
        <v>#VALUE!</v>
      </c>
    </row>
    <row r="39" spans="1:17" x14ac:dyDescent="0.2">
      <c r="A39" s="4" t="s">
        <v>34</v>
      </c>
      <c r="B39" s="13">
        <v>1394382977.99</v>
      </c>
      <c r="C39" s="13">
        <v>1305849686.5</v>
      </c>
      <c r="D39" s="13">
        <v>88533291.49000001</v>
      </c>
      <c r="E39" s="13">
        <v>36726633.350000001</v>
      </c>
      <c r="F39" s="13">
        <v>34869850</v>
      </c>
      <c r="G39" s="14">
        <v>2.54</v>
      </c>
      <c r="H39" s="14">
        <v>1.05</v>
      </c>
      <c r="I39" s="13">
        <v>3060552.7791666668</v>
      </c>
      <c r="J39" s="15">
        <v>0</v>
      </c>
      <c r="K39" s="13">
        <v>88533291.49000001</v>
      </c>
      <c r="L39" s="13" t="s">
        <v>193</v>
      </c>
      <c r="M39" s="13" t="s">
        <v>193</v>
      </c>
      <c r="N39" s="197">
        <v>43922</v>
      </c>
      <c r="O39" s="16">
        <v>45383</v>
      </c>
      <c r="P39" s="13">
        <v>3882251.56</v>
      </c>
      <c r="Q39" s="242" t="e">
        <v>#VALUE!</v>
      </c>
    </row>
    <row r="40" spans="1:17" x14ac:dyDescent="0.2">
      <c r="A40" s="4" t="s">
        <v>15</v>
      </c>
      <c r="B40" s="13">
        <v>1085275104.5</v>
      </c>
      <c r="C40" s="13">
        <v>1027416744.33</v>
      </c>
      <c r="D40" s="13">
        <v>57858360.169999957</v>
      </c>
      <c r="E40" s="13">
        <v>21049053.329999998</v>
      </c>
      <c r="F40" s="13">
        <v>22858857</v>
      </c>
      <c r="G40" s="14">
        <v>2.5299999999999998</v>
      </c>
      <c r="H40" s="14">
        <v>0.92</v>
      </c>
      <c r="I40" s="13">
        <v>1754087.7774999999</v>
      </c>
      <c r="J40" s="15">
        <v>0</v>
      </c>
      <c r="K40" s="13">
        <v>57858360.169999957</v>
      </c>
      <c r="L40" s="13" t="s">
        <v>193</v>
      </c>
      <c r="M40" s="13" t="s">
        <v>193</v>
      </c>
      <c r="N40" s="197">
        <v>43556</v>
      </c>
      <c r="O40" s="16">
        <v>45383</v>
      </c>
      <c r="P40" s="13">
        <v>2011971.74</v>
      </c>
      <c r="Q40" s="242" t="e">
        <v>#VALUE!</v>
      </c>
    </row>
    <row r="41" spans="1:17" x14ac:dyDescent="0.2">
      <c r="A41" s="4" t="s">
        <v>59</v>
      </c>
      <c r="B41" s="13">
        <v>277600986</v>
      </c>
      <c r="C41" s="13">
        <v>259129177.59</v>
      </c>
      <c r="D41" s="13">
        <v>18471808.409999996</v>
      </c>
      <c r="E41" s="13">
        <v>7327907.1100000003</v>
      </c>
      <c r="F41" s="13">
        <v>7461397</v>
      </c>
      <c r="G41" s="14">
        <v>2.48</v>
      </c>
      <c r="H41" s="14">
        <v>0.98</v>
      </c>
      <c r="I41" s="13">
        <v>610658.9258333334</v>
      </c>
      <c r="J41" s="15">
        <v>2</v>
      </c>
      <c r="K41" s="13">
        <v>17250490.55833333</v>
      </c>
      <c r="L41" s="13">
        <v>1774507.2049999982</v>
      </c>
      <c r="M41" s="13" t="s">
        <v>192</v>
      </c>
      <c r="N41" s="197">
        <v>43647</v>
      </c>
      <c r="O41" s="16">
        <v>45474</v>
      </c>
      <c r="P41" s="13">
        <v>1168954</v>
      </c>
      <c r="Q41" s="242" t="e">
        <v>#VALUE!</v>
      </c>
    </row>
    <row r="42" spans="1:17" x14ac:dyDescent="0.2">
      <c r="A42" s="4" t="s">
        <v>27</v>
      </c>
      <c r="B42" s="13">
        <v>1309738768.5599999</v>
      </c>
      <c r="C42" s="13">
        <v>1234374680.6700001</v>
      </c>
      <c r="D42" s="13">
        <v>75364087.889999866</v>
      </c>
      <c r="E42" s="13">
        <v>26461959.699999999</v>
      </c>
      <c r="F42" s="13">
        <v>30738746</v>
      </c>
      <c r="G42" s="14">
        <v>2.4500000000000002</v>
      </c>
      <c r="H42" s="14">
        <v>0.86</v>
      </c>
      <c r="I42" s="13">
        <v>2205163.3083333331</v>
      </c>
      <c r="J42" s="15">
        <v>2</v>
      </c>
      <c r="K42" s="13">
        <v>70953761.273333207</v>
      </c>
      <c r="L42" s="13">
        <v>6943297.9449999332</v>
      </c>
      <c r="M42" s="13" t="s">
        <v>192</v>
      </c>
      <c r="N42" s="197">
        <v>43647</v>
      </c>
      <c r="O42" s="16">
        <v>45474</v>
      </c>
      <c r="P42" s="13">
        <v>3062117.22</v>
      </c>
      <c r="Q42" s="242" t="e">
        <v>#VALUE!</v>
      </c>
    </row>
    <row r="43" spans="1:17" x14ac:dyDescent="0.2">
      <c r="A43" s="4" t="s">
        <v>31</v>
      </c>
      <c r="B43" s="13">
        <v>1205115490</v>
      </c>
      <c r="C43" s="13">
        <v>1150999911.23</v>
      </c>
      <c r="D43" s="13">
        <v>54115578.769999981</v>
      </c>
      <c r="E43" s="13">
        <v>25455712.649999999</v>
      </c>
      <c r="F43" s="13">
        <v>22499042</v>
      </c>
      <c r="G43" s="14">
        <v>2.41</v>
      </c>
      <c r="H43" s="14">
        <v>1.1299999999999999</v>
      </c>
      <c r="I43" s="13">
        <v>2121309.3874999997</v>
      </c>
      <c r="J43" s="15">
        <v>0</v>
      </c>
      <c r="K43" s="13">
        <v>54115578.769999981</v>
      </c>
      <c r="L43" s="13" t="s">
        <v>193</v>
      </c>
      <c r="M43" s="13" t="s">
        <v>192</v>
      </c>
      <c r="N43" s="197">
        <v>43922</v>
      </c>
      <c r="O43" s="16">
        <v>45383</v>
      </c>
      <c r="P43" s="13">
        <v>2492517.75</v>
      </c>
      <c r="Q43" s="242" t="e">
        <v>#VALUE!</v>
      </c>
    </row>
    <row r="44" spans="1:17" x14ac:dyDescent="0.2">
      <c r="A44" s="4" t="s">
        <v>25</v>
      </c>
      <c r="B44" s="13">
        <v>342887810.45999998</v>
      </c>
      <c r="C44" s="13">
        <v>323464415.5</v>
      </c>
      <c r="D44" s="13">
        <v>19423394.959999979</v>
      </c>
      <c r="E44" s="13">
        <v>8394195.7300000004</v>
      </c>
      <c r="F44" s="13">
        <v>8236180</v>
      </c>
      <c r="G44" s="14">
        <v>2.36</v>
      </c>
      <c r="H44" s="14">
        <v>1.02</v>
      </c>
      <c r="I44" s="13">
        <v>699516.31083333341</v>
      </c>
      <c r="J44" s="15">
        <v>0</v>
      </c>
      <c r="K44" s="13">
        <v>19423394.959999979</v>
      </c>
      <c r="L44" s="13" t="s">
        <v>193</v>
      </c>
      <c r="M44" s="13" t="s">
        <v>192</v>
      </c>
      <c r="N44" s="197">
        <v>43556</v>
      </c>
      <c r="O44" s="16">
        <v>45383</v>
      </c>
      <c r="P44" s="13">
        <v>590407.41</v>
      </c>
      <c r="Q44" s="242" t="e">
        <v>#VALUE!</v>
      </c>
    </row>
    <row r="45" spans="1:17" x14ac:dyDescent="0.2">
      <c r="A45" s="4" t="s">
        <v>41</v>
      </c>
      <c r="B45" s="13">
        <v>98701064</v>
      </c>
      <c r="C45" s="13">
        <v>92507438.599999994</v>
      </c>
      <c r="D45" s="13">
        <v>6193625.400000006</v>
      </c>
      <c r="E45" s="13">
        <v>4832857.0599999996</v>
      </c>
      <c r="F45" s="13">
        <v>2898567</v>
      </c>
      <c r="G45" s="14">
        <v>2.14</v>
      </c>
      <c r="H45" s="14">
        <v>1.67</v>
      </c>
      <c r="I45" s="13">
        <v>402738.08833333332</v>
      </c>
      <c r="J45" s="15">
        <v>2</v>
      </c>
      <c r="K45" s="13">
        <v>5388149.2233333392</v>
      </c>
      <c r="L45" s="13" t="s">
        <v>192</v>
      </c>
      <c r="M45" s="13" t="s">
        <v>192</v>
      </c>
      <c r="N45" s="197">
        <v>43647</v>
      </c>
      <c r="O45" s="16">
        <v>45474</v>
      </c>
      <c r="P45" s="13">
        <v>174182.79</v>
      </c>
      <c r="Q45" s="242" t="e">
        <v>#VALUE!</v>
      </c>
    </row>
    <row r="46" spans="1:17" x14ac:dyDescent="0.2">
      <c r="A46" s="4" t="s">
        <v>49</v>
      </c>
      <c r="B46" s="13">
        <v>685388676.61000001</v>
      </c>
      <c r="C46" s="13">
        <v>656274778.53999996</v>
      </c>
      <c r="D46" s="13">
        <v>29113898.070000052</v>
      </c>
      <c r="E46" s="13">
        <v>16769896.380000001</v>
      </c>
      <c r="F46" s="13">
        <v>13963452</v>
      </c>
      <c r="G46" s="14">
        <v>2.09</v>
      </c>
      <c r="H46" s="14">
        <v>1.2</v>
      </c>
      <c r="I46" s="13">
        <v>1397491.365</v>
      </c>
      <c r="J46" s="15">
        <v>0</v>
      </c>
      <c r="K46" s="13">
        <v>29113898.070000052</v>
      </c>
      <c r="L46" s="13" t="s">
        <v>193</v>
      </c>
      <c r="M46" s="13" t="s">
        <v>192</v>
      </c>
      <c r="N46" s="197">
        <v>43922</v>
      </c>
      <c r="O46" s="16">
        <v>45383</v>
      </c>
      <c r="P46" s="13">
        <v>1625749.19</v>
      </c>
      <c r="Q46" s="242" t="e">
        <v>#VALUE!</v>
      </c>
    </row>
    <row r="47" spans="1:17" x14ac:dyDescent="0.2">
      <c r="A47" s="4" t="s">
        <v>48</v>
      </c>
      <c r="B47" s="13">
        <v>1940110596.77</v>
      </c>
      <c r="C47" s="13">
        <v>1845467370.6400001</v>
      </c>
      <c r="D47" s="13">
        <v>94643226.129999876</v>
      </c>
      <c r="E47" s="13">
        <v>41025768.530000001</v>
      </c>
      <c r="F47" s="13">
        <v>45492764</v>
      </c>
      <c r="G47" s="14">
        <v>2.08</v>
      </c>
      <c r="H47" s="14">
        <v>0.9</v>
      </c>
      <c r="I47" s="13">
        <v>3418814.0441666669</v>
      </c>
      <c r="J47" s="15">
        <v>2</v>
      </c>
      <c r="K47" s="13">
        <v>87805598.041666538</v>
      </c>
      <c r="L47" s="13" t="s">
        <v>192</v>
      </c>
      <c r="M47" s="13" t="s">
        <v>192</v>
      </c>
      <c r="N47" s="197">
        <v>43647</v>
      </c>
      <c r="O47" s="16">
        <v>45474</v>
      </c>
      <c r="P47" s="13">
        <v>3503685.53</v>
      </c>
      <c r="Q47" s="242" t="e">
        <v>#VALUE!</v>
      </c>
    </row>
    <row r="48" spans="1:17" x14ac:dyDescent="0.2">
      <c r="A48" s="4" t="s">
        <v>17</v>
      </c>
      <c r="B48" s="13">
        <v>389160034</v>
      </c>
      <c r="C48" s="13">
        <v>369320220.75999999</v>
      </c>
      <c r="D48" s="13">
        <v>19839813.24000001</v>
      </c>
      <c r="E48" s="13">
        <v>10313650.800000001</v>
      </c>
      <c r="F48" s="13">
        <v>10126728</v>
      </c>
      <c r="G48" s="14">
        <v>1.96</v>
      </c>
      <c r="H48" s="14">
        <v>1.02</v>
      </c>
      <c r="I48" s="13">
        <v>859470.9</v>
      </c>
      <c r="J48" s="15">
        <v>2</v>
      </c>
      <c r="K48" s="13">
        <v>18120871.440000009</v>
      </c>
      <c r="L48" s="13" t="s">
        <v>192</v>
      </c>
      <c r="M48" s="13" t="s">
        <v>192</v>
      </c>
      <c r="N48" s="197">
        <v>43647</v>
      </c>
      <c r="O48" s="16">
        <v>45474</v>
      </c>
      <c r="P48" s="13">
        <v>1610157.44</v>
      </c>
      <c r="Q48" s="242" t="e">
        <v>#VALUE!</v>
      </c>
    </row>
    <row r="49" spans="1:17" x14ac:dyDescent="0.2">
      <c r="A49" s="4" t="s">
        <v>32</v>
      </c>
      <c r="B49" s="13">
        <v>497245980</v>
      </c>
      <c r="C49" s="13">
        <v>474381023.50999999</v>
      </c>
      <c r="D49" s="13">
        <v>22864956.49000001</v>
      </c>
      <c r="E49" s="13">
        <v>12360104</v>
      </c>
      <c r="F49" s="13">
        <v>11808636</v>
      </c>
      <c r="G49" s="14">
        <v>1.94</v>
      </c>
      <c r="H49" s="14">
        <v>1.05</v>
      </c>
      <c r="I49" s="13">
        <v>1030008.6666666666</v>
      </c>
      <c r="J49" s="15">
        <v>8</v>
      </c>
      <c r="K49" s="13">
        <v>14624887.156666677</v>
      </c>
      <c r="L49" s="13" t="s">
        <v>192</v>
      </c>
      <c r="M49" s="13" t="s">
        <v>192</v>
      </c>
      <c r="N49" s="197">
        <v>43831</v>
      </c>
      <c r="O49" s="16">
        <v>45658</v>
      </c>
      <c r="P49" s="13">
        <v>299573.27</v>
      </c>
      <c r="Q49" s="242" t="e">
        <v>#VALUE!</v>
      </c>
    </row>
    <row r="50" spans="1:17" x14ac:dyDescent="0.2">
      <c r="A50" s="4" t="s">
        <v>63</v>
      </c>
      <c r="B50" s="13">
        <v>1082941284</v>
      </c>
      <c r="C50" s="13">
        <v>1031882576.62</v>
      </c>
      <c r="D50" s="13">
        <v>51058707.379999995</v>
      </c>
      <c r="E50" s="13">
        <v>29750947.129999999</v>
      </c>
      <c r="F50" s="13">
        <v>27168342</v>
      </c>
      <c r="G50" s="14">
        <v>1.88</v>
      </c>
      <c r="H50" s="14">
        <v>1.1000000000000001</v>
      </c>
      <c r="I50" s="13">
        <v>2479245.5941666667</v>
      </c>
      <c r="J50" s="15">
        <v>0</v>
      </c>
      <c r="K50" s="13">
        <v>51058707.379999995</v>
      </c>
      <c r="L50" s="13" t="s">
        <v>192</v>
      </c>
      <c r="M50" s="13" t="s">
        <v>192</v>
      </c>
      <c r="N50" s="197">
        <v>43922</v>
      </c>
      <c r="O50" s="16">
        <v>45383</v>
      </c>
      <c r="P50" s="13">
        <v>1757168.72</v>
      </c>
      <c r="Q50" s="242" t="e">
        <v>#VALUE!</v>
      </c>
    </row>
    <row r="51" spans="1:17" x14ac:dyDescent="0.2">
      <c r="A51" s="4" t="s">
        <v>58</v>
      </c>
      <c r="B51" s="13">
        <v>238203233</v>
      </c>
      <c r="C51" s="13">
        <v>229257629.41</v>
      </c>
      <c r="D51" s="13">
        <v>8945603.5900000036</v>
      </c>
      <c r="E51" s="13">
        <v>4844119.24</v>
      </c>
      <c r="F51" s="13">
        <v>5501208</v>
      </c>
      <c r="G51" s="14">
        <v>1.63</v>
      </c>
      <c r="H51" s="14">
        <v>0.88</v>
      </c>
      <c r="I51" s="13">
        <v>403676.60333333333</v>
      </c>
      <c r="J51" s="15">
        <v>2</v>
      </c>
      <c r="K51" s="13">
        <v>8138250.3833333366</v>
      </c>
      <c r="L51" s="13" t="s">
        <v>192</v>
      </c>
      <c r="M51" s="13" t="s">
        <v>192</v>
      </c>
      <c r="N51" s="197">
        <v>43647</v>
      </c>
      <c r="O51" s="16">
        <v>45474</v>
      </c>
      <c r="P51" s="13">
        <v>1131552.3799999999</v>
      </c>
      <c r="Q51" s="242" t="e">
        <v>#VALUE!</v>
      </c>
    </row>
    <row r="52" spans="1:17" x14ac:dyDescent="0.2">
      <c r="A52" s="4" t="s">
        <v>22</v>
      </c>
      <c r="B52" s="13">
        <v>75470621</v>
      </c>
      <c r="C52" s="13">
        <v>71819704</v>
      </c>
      <c r="D52" s="18">
        <v>3650917</v>
      </c>
      <c r="E52" s="13">
        <v>2121500.7799999998</v>
      </c>
      <c r="F52" s="13">
        <v>2752623</v>
      </c>
      <c r="G52" s="14">
        <v>1.33</v>
      </c>
      <c r="H52" s="14">
        <v>0.77</v>
      </c>
      <c r="I52" s="18">
        <v>176791.73166666666</v>
      </c>
      <c r="J52" s="15">
        <v>2</v>
      </c>
      <c r="K52" s="18">
        <v>3297333.5366666666</v>
      </c>
      <c r="L52" s="18" t="s">
        <v>192</v>
      </c>
      <c r="M52" s="18" t="s">
        <v>192</v>
      </c>
      <c r="N52" s="198">
        <v>43647</v>
      </c>
      <c r="O52" s="16">
        <v>45474</v>
      </c>
      <c r="P52" s="13">
        <v>67718.039999999994</v>
      </c>
      <c r="Q52" s="242" t="e">
        <v>#VALUE!</v>
      </c>
    </row>
    <row r="53" spans="1:17" x14ac:dyDescent="0.25">
      <c r="A53" s="36" t="s">
        <v>65</v>
      </c>
      <c r="B53" s="33">
        <v>43056918036.709999</v>
      </c>
      <c r="C53" s="13">
        <v>39760655528.980003</v>
      </c>
      <c r="D53" s="33">
        <v>3296262507.7299957</v>
      </c>
      <c r="E53" s="13">
        <v>943824017.27999997</v>
      </c>
      <c r="F53" s="13">
        <v>981907757</v>
      </c>
      <c r="G53" s="14">
        <v>3.36</v>
      </c>
      <c r="H53" s="14">
        <v>0.96</v>
      </c>
      <c r="I53" s="33">
        <v>78652001.439999998</v>
      </c>
      <c r="J53" s="34"/>
      <c r="K53" s="35"/>
      <c r="L53" s="35"/>
      <c r="M53" s="35"/>
      <c r="N53" s="35"/>
      <c r="O53" s="35"/>
      <c r="P53" s="33">
        <v>68336248.150000021</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38</v>
      </c>
      <c r="H56" s="25"/>
    </row>
    <row r="57" spans="1:17" ht="27" customHeight="1" thickBot="1" x14ac:dyDescent="0.3">
      <c r="D57" s="248" t="s">
        <v>67</v>
      </c>
      <c r="E57" s="249"/>
      <c r="F57" s="249"/>
      <c r="G57" s="27"/>
      <c r="H57" s="28">
        <v>28</v>
      </c>
    </row>
  </sheetData>
  <mergeCells count="2">
    <mergeCell ref="D56:F56"/>
    <mergeCell ref="D57:F57"/>
  </mergeCells>
  <conditionalFormatting sqref="G54">
    <cfRule type="cellIs" dxfId="363" priority="13" stopIfTrue="1" operator="greaterThan">
      <formula>2.5</formula>
    </cfRule>
    <cfRule type="cellIs" dxfId="362" priority="14" stopIfTrue="1" operator="between">
      <formula>2.01</formula>
      <formula>2.5</formula>
    </cfRule>
  </conditionalFormatting>
  <conditionalFormatting sqref="H3:H53">
    <cfRule type="cellIs" dxfId="361" priority="12" stopIfTrue="1" operator="lessThan">
      <formula>1</formula>
    </cfRule>
  </conditionalFormatting>
  <conditionalFormatting sqref="G3:G53">
    <cfRule type="cellIs" dxfId="360" priority="10" stopIfTrue="1" operator="greaterThan">
      <formula>2.5</formula>
    </cfRule>
    <cfRule type="cellIs" dxfId="359" priority="11" stopIfTrue="1" operator="between">
      <formula>2.01</formula>
      <formula>2.5</formula>
    </cfRule>
  </conditionalFormatting>
  <conditionalFormatting sqref="K3:K52">
    <cfRule type="cellIs" dxfId="358" priority="8" stopIfTrue="1" operator="greaterThan">
      <formula>$F3*2.5</formula>
    </cfRule>
    <cfRule type="cellIs" dxfId="357" priority="9" stopIfTrue="1" operator="between">
      <formula>$F3*2</formula>
      <formula>$F3*2.5</formula>
    </cfRule>
  </conditionalFormatting>
  <conditionalFormatting sqref="G54">
    <cfRule type="cellIs" dxfId="356" priority="6" stopIfTrue="1" operator="greaterThan">
      <formula>2.5</formula>
    </cfRule>
    <cfRule type="cellIs" dxfId="355" priority="7" stopIfTrue="1" operator="between">
      <formula>2.01</formula>
      <formula>2.5</formula>
    </cfRule>
  </conditionalFormatting>
  <conditionalFormatting sqref="H3:H53">
    <cfRule type="cellIs" dxfId="354" priority="5" stopIfTrue="1" operator="lessThan">
      <formula>1</formula>
    </cfRule>
  </conditionalFormatting>
  <conditionalFormatting sqref="G3:G53">
    <cfRule type="cellIs" dxfId="353" priority="3" stopIfTrue="1" operator="greaterThan">
      <formula>2.5</formula>
    </cfRule>
    <cfRule type="cellIs" dxfId="352" priority="4" stopIfTrue="1" operator="between">
      <formula>2.01</formula>
      <formula>2.5</formula>
    </cfRule>
  </conditionalFormatting>
  <conditionalFormatting sqref="K3:K52">
    <cfRule type="cellIs" dxfId="351" priority="1" stopIfTrue="1" operator="greaterThan">
      <formula>$F3*2.5</formula>
    </cfRule>
    <cfRule type="cellIs" dxfId="350"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7A7CF-7017-42BC-95B9-9FFB78107109}">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273</v>
      </c>
      <c r="B1" s="196" t="s">
        <v>274</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1139975937.45</v>
      </c>
      <c r="C3" s="13">
        <v>985330771.10000002</v>
      </c>
      <c r="D3" s="13">
        <v>154645166.35000002</v>
      </c>
      <c r="E3" s="13">
        <v>12555135.66</v>
      </c>
      <c r="F3" s="13">
        <v>24778539</v>
      </c>
      <c r="G3" s="14">
        <v>6.24</v>
      </c>
      <c r="H3" s="14">
        <v>0.51</v>
      </c>
      <c r="I3" s="13">
        <v>1046261.3050000001</v>
      </c>
      <c r="J3" s="15">
        <v>1</v>
      </c>
      <c r="K3" s="13">
        <v>153598905.04500002</v>
      </c>
      <c r="L3" s="13">
        <v>105088088.35000002</v>
      </c>
      <c r="M3" s="13">
        <v>92698818.850000024</v>
      </c>
      <c r="N3" s="197">
        <v>43647</v>
      </c>
      <c r="O3" s="16">
        <v>45474</v>
      </c>
      <c r="P3" s="13">
        <v>252507.44</v>
      </c>
      <c r="Q3" s="243" t="e">
        <v>#VALUE!</v>
      </c>
    </row>
    <row r="4" spans="1:17" x14ac:dyDescent="0.2">
      <c r="A4" s="4" t="s">
        <v>62</v>
      </c>
      <c r="B4" s="13">
        <v>708696383.32000005</v>
      </c>
      <c r="C4" s="13">
        <v>635002282.17999995</v>
      </c>
      <c r="D4" s="13">
        <v>73694101.140000105</v>
      </c>
      <c r="E4" s="13">
        <v>13361474.449999999</v>
      </c>
      <c r="F4" s="13">
        <v>13833071</v>
      </c>
      <c r="G4" s="14">
        <v>5.33</v>
      </c>
      <c r="H4" s="14">
        <v>0.97</v>
      </c>
      <c r="I4" s="13">
        <v>1113456.2041666666</v>
      </c>
      <c r="J4" s="15">
        <v>1</v>
      </c>
      <c r="K4" s="13">
        <v>72580644.935833439</v>
      </c>
      <c r="L4" s="13">
        <v>46027959.140000105</v>
      </c>
      <c r="M4" s="13">
        <v>39111423.640000105</v>
      </c>
      <c r="N4" s="197">
        <v>43647</v>
      </c>
      <c r="O4" s="16">
        <v>45474</v>
      </c>
      <c r="P4" s="13">
        <v>2192502.15</v>
      </c>
      <c r="Q4" s="242" t="e">
        <v>#VALUE!</v>
      </c>
    </row>
    <row r="5" spans="1:17" x14ac:dyDescent="0.2">
      <c r="A5" s="4" t="s">
        <v>46</v>
      </c>
      <c r="B5" s="13">
        <v>1788595890.3599999</v>
      </c>
      <c r="C5" s="13">
        <v>1542312922.28</v>
      </c>
      <c r="D5" s="13">
        <v>246282968.07999992</v>
      </c>
      <c r="E5" s="13">
        <v>39641687.979999997</v>
      </c>
      <c r="F5" s="13">
        <v>46272979</v>
      </c>
      <c r="G5" s="14">
        <v>5.32</v>
      </c>
      <c r="H5" s="14">
        <v>0.86</v>
      </c>
      <c r="I5" s="13">
        <v>3303473.9983333331</v>
      </c>
      <c r="J5" s="15">
        <v>7</v>
      </c>
      <c r="K5" s="13">
        <v>223158650.09166658</v>
      </c>
      <c r="L5" s="13">
        <v>21962430.011428561</v>
      </c>
      <c r="M5" s="13">
        <v>18657217.225714274</v>
      </c>
      <c r="N5" s="197">
        <v>43831</v>
      </c>
      <c r="O5" s="16">
        <v>45658</v>
      </c>
      <c r="P5" s="13">
        <v>6204178.1299999999</v>
      </c>
      <c r="Q5" s="242" t="e">
        <v>#VALUE!</v>
      </c>
    </row>
    <row r="6" spans="1:17" x14ac:dyDescent="0.2">
      <c r="A6" s="4" t="s">
        <v>35</v>
      </c>
      <c r="B6" s="13">
        <v>1469242870.97</v>
      </c>
      <c r="C6" s="13">
        <v>1295937448.8</v>
      </c>
      <c r="D6" s="13">
        <v>173305422.17000008</v>
      </c>
      <c r="E6" s="13">
        <v>18515624.079999998</v>
      </c>
      <c r="F6" s="13">
        <v>33073641</v>
      </c>
      <c r="G6" s="14">
        <v>5.24</v>
      </c>
      <c r="H6" s="14">
        <v>0.56000000000000005</v>
      </c>
      <c r="I6" s="13">
        <v>1542968.6733333331</v>
      </c>
      <c r="J6" s="15">
        <v>1</v>
      </c>
      <c r="K6" s="13">
        <v>171762453.49666673</v>
      </c>
      <c r="L6" s="13">
        <v>107158140.17000008</v>
      </c>
      <c r="M6" s="13">
        <v>90621319.670000076</v>
      </c>
      <c r="N6" s="197">
        <v>43647</v>
      </c>
      <c r="O6" s="16">
        <v>45474</v>
      </c>
      <c r="P6" s="13">
        <v>397770.83</v>
      </c>
      <c r="Q6" s="242" t="e">
        <v>#VALUE!</v>
      </c>
    </row>
    <row r="7" spans="1:17" x14ac:dyDescent="0.2">
      <c r="A7" s="4" t="s">
        <v>26</v>
      </c>
      <c r="B7" s="13">
        <v>1336273473.74</v>
      </c>
      <c r="C7" s="13">
        <v>1189683993.0899999</v>
      </c>
      <c r="D7" s="13">
        <v>146589480.6500001</v>
      </c>
      <c r="E7" s="13">
        <v>18425249.149999999</v>
      </c>
      <c r="F7" s="13">
        <v>29074134</v>
      </c>
      <c r="G7" s="14">
        <v>5.04</v>
      </c>
      <c r="H7" s="14">
        <v>0.63</v>
      </c>
      <c r="I7" s="13">
        <v>1535437.4291666665</v>
      </c>
      <c r="J7" s="15">
        <v>7</v>
      </c>
      <c r="K7" s="13">
        <v>135841418.64583343</v>
      </c>
      <c r="L7" s="13">
        <v>12634458.950000014</v>
      </c>
      <c r="M7" s="13">
        <v>10557735.092857156</v>
      </c>
      <c r="N7" s="197">
        <v>43831</v>
      </c>
      <c r="O7" s="16">
        <v>45658</v>
      </c>
      <c r="P7" s="13">
        <v>974918.89</v>
      </c>
      <c r="Q7" s="242" t="e">
        <v>#VALUE!</v>
      </c>
    </row>
    <row r="8" spans="1:17" x14ac:dyDescent="0.2">
      <c r="A8" s="4" t="s">
        <v>64</v>
      </c>
      <c r="B8" s="13">
        <v>120899760.39</v>
      </c>
      <c r="C8" s="13">
        <v>104445062.28</v>
      </c>
      <c r="D8" s="13">
        <v>16454698.109999999</v>
      </c>
      <c r="E8" s="13">
        <v>1773705.59</v>
      </c>
      <c r="F8" s="13">
        <v>3521015</v>
      </c>
      <c r="G8" s="14">
        <v>4.67</v>
      </c>
      <c r="H8" s="14">
        <v>0.5</v>
      </c>
      <c r="I8" s="13">
        <v>147808.79916666666</v>
      </c>
      <c r="J8" s="15">
        <v>7</v>
      </c>
      <c r="K8" s="13">
        <v>15420036.515833333</v>
      </c>
      <c r="L8" s="13">
        <v>1344666.8728571427</v>
      </c>
      <c r="M8" s="13">
        <v>1093165.8014285713</v>
      </c>
      <c r="N8" s="197">
        <v>43831</v>
      </c>
      <c r="O8" s="16">
        <v>45658</v>
      </c>
      <c r="P8" s="13">
        <v>24831.85</v>
      </c>
      <c r="Q8" s="242" t="e">
        <v>#VALUE!</v>
      </c>
    </row>
    <row r="9" spans="1:17" x14ac:dyDescent="0.2">
      <c r="A9" s="4" t="s">
        <v>44</v>
      </c>
      <c r="B9" s="13">
        <v>493558716</v>
      </c>
      <c r="C9" s="13">
        <v>447115117.83999997</v>
      </c>
      <c r="D9" s="13">
        <v>46443598.160000026</v>
      </c>
      <c r="E9" s="13">
        <v>8332854.1900000004</v>
      </c>
      <c r="F9" s="13">
        <v>11038481</v>
      </c>
      <c r="G9" s="14">
        <v>4.21</v>
      </c>
      <c r="H9" s="14">
        <v>0.75</v>
      </c>
      <c r="I9" s="13">
        <v>694404.51583333337</v>
      </c>
      <c r="J9" s="15">
        <v>7</v>
      </c>
      <c r="K9" s="13">
        <v>41582766.549166694</v>
      </c>
      <c r="L9" s="13">
        <v>3480948.0228571468</v>
      </c>
      <c r="M9" s="13">
        <v>2692485.0942857182</v>
      </c>
      <c r="N9" s="197">
        <v>43831</v>
      </c>
      <c r="O9" s="16">
        <v>45658</v>
      </c>
      <c r="P9" s="13">
        <v>1377314.19</v>
      </c>
      <c r="Q9" s="242" t="e">
        <v>#VALUE!</v>
      </c>
    </row>
    <row r="10" spans="1:17" x14ac:dyDescent="0.2">
      <c r="A10" s="4" t="s">
        <v>53</v>
      </c>
      <c r="B10" s="13">
        <v>203184695.25999999</v>
      </c>
      <c r="C10" s="13">
        <v>179764529.81999999</v>
      </c>
      <c r="D10" s="13">
        <v>23420165.439999998</v>
      </c>
      <c r="E10" s="13">
        <v>5843312.4900000002</v>
      </c>
      <c r="F10" s="13">
        <v>5655134</v>
      </c>
      <c r="G10" s="14">
        <v>4.1399999999999997</v>
      </c>
      <c r="H10" s="14">
        <v>1.03</v>
      </c>
      <c r="I10" s="13">
        <v>486942.70750000002</v>
      </c>
      <c r="J10" s="15">
        <v>1</v>
      </c>
      <c r="K10" s="13">
        <v>22933222.732499998</v>
      </c>
      <c r="L10" s="13">
        <v>12109897.439999998</v>
      </c>
      <c r="M10" s="13">
        <v>9282330.4399999976</v>
      </c>
      <c r="N10" s="197">
        <v>43647</v>
      </c>
      <c r="O10" s="16">
        <v>45474</v>
      </c>
      <c r="P10" s="13">
        <v>109269.6</v>
      </c>
      <c r="Q10" s="242" t="e">
        <v>#VALUE!</v>
      </c>
    </row>
    <row r="11" spans="1:17" x14ac:dyDescent="0.2">
      <c r="A11" s="4" t="s">
        <v>39</v>
      </c>
      <c r="B11" s="13">
        <v>265120500</v>
      </c>
      <c r="C11" s="13">
        <v>239771345.74000001</v>
      </c>
      <c r="D11" s="13">
        <v>25349154.25999999</v>
      </c>
      <c r="E11" s="13">
        <v>8536086.4299999997</v>
      </c>
      <c r="F11" s="13">
        <v>6172506</v>
      </c>
      <c r="G11" s="14">
        <v>4.1100000000000003</v>
      </c>
      <c r="H11" s="14">
        <v>1.38</v>
      </c>
      <c r="I11" s="13">
        <v>711340.53583333327</v>
      </c>
      <c r="J11" s="15">
        <v>0</v>
      </c>
      <c r="K11" s="13">
        <v>25349154.25999999</v>
      </c>
      <c r="L11" s="13" t="s">
        <v>193</v>
      </c>
      <c r="M11" s="13" t="s">
        <v>193</v>
      </c>
      <c r="N11" s="197">
        <v>43922</v>
      </c>
      <c r="O11" s="16">
        <v>45383</v>
      </c>
      <c r="P11" s="13">
        <v>305055.44</v>
      </c>
      <c r="Q11" s="242" t="e">
        <v>#VALUE!</v>
      </c>
    </row>
    <row r="12" spans="1:17" x14ac:dyDescent="0.2">
      <c r="A12" s="4" t="s">
        <v>36</v>
      </c>
      <c r="B12" s="13">
        <v>853256279</v>
      </c>
      <c r="C12" s="13">
        <v>775958768.50999999</v>
      </c>
      <c r="D12" s="13">
        <v>77297510.49000001</v>
      </c>
      <c r="E12" s="13">
        <v>18506978.829999998</v>
      </c>
      <c r="F12" s="13">
        <v>18836467</v>
      </c>
      <c r="G12" s="14">
        <v>4.0999999999999996</v>
      </c>
      <c r="H12" s="14">
        <v>0.98</v>
      </c>
      <c r="I12" s="13">
        <v>1542248.2358333331</v>
      </c>
      <c r="J12" s="15">
        <v>4</v>
      </c>
      <c r="K12" s="13">
        <v>71128517.546666682</v>
      </c>
      <c r="L12" s="13">
        <v>9906144.1225000024</v>
      </c>
      <c r="M12" s="13">
        <v>7551585.7475000024</v>
      </c>
      <c r="N12" s="197">
        <v>43739</v>
      </c>
      <c r="O12" s="16">
        <v>45566</v>
      </c>
      <c r="P12" s="13">
        <v>1198287.8799999999</v>
      </c>
      <c r="Q12" s="242" t="e">
        <v>#VALUE!</v>
      </c>
    </row>
    <row r="13" spans="1:17" x14ac:dyDescent="0.2">
      <c r="A13" s="4" t="s">
        <v>52</v>
      </c>
      <c r="B13" s="13">
        <v>1945106991</v>
      </c>
      <c r="C13" s="13">
        <v>1854699030.27</v>
      </c>
      <c r="D13" s="13">
        <v>90407960.730000019</v>
      </c>
      <c r="E13" s="13">
        <v>20461044.809999999</v>
      </c>
      <c r="F13" s="13">
        <v>22131554</v>
      </c>
      <c r="G13" s="14">
        <v>4.09</v>
      </c>
      <c r="H13" s="14">
        <v>0.92</v>
      </c>
      <c r="I13" s="13">
        <v>1705087.0674999999</v>
      </c>
      <c r="J13" s="15">
        <v>1</v>
      </c>
      <c r="K13" s="13">
        <v>88702873.662500024</v>
      </c>
      <c r="L13" s="13">
        <v>46144852.730000019</v>
      </c>
      <c r="M13" s="13">
        <v>35079075.730000019</v>
      </c>
      <c r="N13" s="197">
        <v>43647</v>
      </c>
      <c r="O13" s="16">
        <v>45474</v>
      </c>
      <c r="P13" s="13">
        <v>1126476.48</v>
      </c>
      <c r="Q13" s="242" t="e">
        <v>#VALUE!</v>
      </c>
    </row>
    <row r="14" spans="1:17" x14ac:dyDescent="0.2">
      <c r="A14" s="4" t="s">
        <v>47</v>
      </c>
      <c r="B14" s="13">
        <v>187480557</v>
      </c>
      <c r="C14" s="13">
        <v>173244238.41</v>
      </c>
      <c r="D14" s="13">
        <v>14236318.590000004</v>
      </c>
      <c r="E14" s="13">
        <v>2906394.26</v>
      </c>
      <c r="F14" s="13">
        <v>3515583</v>
      </c>
      <c r="G14" s="14">
        <v>4.05</v>
      </c>
      <c r="H14" s="14">
        <v>0.83</v>
      </c>
      <c r="I14" s="13">
        <v>242199.52166666664</v>
      </c>
      <c r="J14" s="15">
        <v>1</v>
      </c>
      <c r="K14" s="13">
        <v>13994119.068333337</v>
      </c>
      <c r="L14" s="13">
        <v>7205152.5900000036</v>
      </c>
      <c r="M14" s="13">
        <v>5447361.0900000036</v>
      </c>
      <c r="N14" s="197">
        <v>43647</v>
      </c>
      <c r="O14" s="16">
        <v>45474</v>
      </c>
      <c r="P14" s="13">
        <v>0</v>
      </c>
      <c r="Q14" s="242" t="e">
        <v>#VALUE!</v>
      </c>
    </row>
    <row r="15" spans="1:17" x14ac:dyDescent="0.2">
      <c r="A15" s="4" t="s">
        <v>30</v>
      </c>
      <c r="B15" s="13">
        <v>1168142277.4400001</v>
      </c>
      <c r="C15" s="13">
        <v>1063925749.79</v>
      </c>
      <c r="D15" s="13">
        <v>104216527.6500001</v>
      </c>
      <c r="E15" s="13">
        <v>20303999.800000001</v>
      </c>
      <c r="F15" s="13">
        <v>26355588</v>
      </c>
      <c r="G15" s="14">
        <v>3.95</v>
      </c>
      <c r="H15" s="14">
        <v>0.77</v>
      </c>
      <c r="I15" s="13">
        <v>1691999.9833333334</v>
      </c>
      <c r="J15" s="15">
        <v>1</v>
      </c>
      <c r="K15" s="13">
        <v>102524527.66666676</v>
      </c>
      <c r="L15" s="13">
        <v>51505351.650000095</v>
      </c>
      <c r="M15" s="13">
        <v>38327557.650000095</v>
      </c>
      <c r="N15" s="197">
        <v>43647</v>
      </c>
      <c r="O15" s="16">
        <v>45474</v>
      </c>
      <c r="P15" s="13">
        <v>1725758</v>
      </c>
      <c r="Q15" s="242" t="e">
        <v>#VALUE!</v>
      </c>
    </row>
    <row r="16" spans="1:17" x14ac:dyDescent="0.2">
      <c r="A16" s="4" t="s">
        <v>19</v>
      </c>
      <c r="B16" s="13">
        <v>1438428739.9100001</v>
      </c>
      <c r="C16" s="13">
        <v>1323388523.03</v>
      </c>
      <c r="D16" s="13">
        <v>115040216.88000011</v>
      </c>
      <c r="E16" s="13">
        <v>27650808.359999999</v>
      </c>
      <c r="F16" s="13">
        <v>30065955</v>
      </c>
      <c r="G16" s="14">
        <v>3.83</v>
      </c>
      <c r="H16" s="14">
        <v>0.92</v>
      </c>
      <c r="I16" s="13">
        <v>2304234.0299999998</v>
      </c>
      <c r="J16" s="15">
        <v>1</v>
      </c>
      <c r="K16" s="13">
        <v>112735982.85000011</v>
      </c>
      <c r="L16" s="13">
        <v>54908306.880000114</v>
      </c>
      <c r="M16" s="13">
        <v>39875329.380000114</v>
      </c>
      <c r="N16" s="197">
        <v>43647</v>
      </c>
      <c r="O16" s="16">
        <v>45474</v>
      </c>
      <c r="P16" s="13">
        <v>4385749.99</v>
      </c>
      <c r="Q16" s="242" t="e">
        <v>#VALUE!</v>
      </c>
    </row>
    <row r="17" spans="1:17" x14ac:dyDescent="0.2">
      <c r="A17" s="4" t="s">
        <v>18</v>
      </c>
      <c r="B17" s="13">
        <v>800464324.92999995</v>
      </c>
      <c r="C17" s="13">
        <v>734038679.71000004</v>
      </c>
      <c r="D17" s="13">
        <v>66425645.219999909</v>
      </c>
      <c r="E17" s="13">
        <v>20458275.91</v>
      </c>
      <c r="F17" s="13">
        <v>17480755</v>
      </c>
      <c r="G17" s="14">
        <v>3.8</v>
      </c>
      <c r="H17" s="14">
        <v>1.17</v>
      </c>
      <c r="I17" s="13">
        <v>1704856.3258333334</v>
      </c>
      <c r="J17" s="15">
        <v>1</v>
      </c>
      <c r="K17" s="13">
        <v>64720788.894166574</v>
      </c>
      <c r="L17" s="13">
        <v>31464135.219999909</v>
      </c>
      <c r="M17" s="13">
        <v>22723757.719999909</v>
      </c>
      <c r="N17" s="197">
        <v>43647</v>
      </c>
      <c r="O17" s="16">
        <v>45474</v>
      </c>
      <c r="P17" s="13">
        <v>2042166.87</v>
      </c>
      <c r="Q17" s="242" t="e">
        <v>#VALUE!</v>
      </c>
    </row>
    <row r="18" spans="1:17" x14ac:dyDescent="0.2">
      <c r="A18" s="4" t="s">
        <v>60</v>
      </c>
      <c r="B18" s="13">
        <v>794219275</v>
      </c>
      <c r="C18" s="13">
        <v>721598739.29999995</v>
      </c>
      <c r="D18" s="13">
        <v>72620535.700000048</v>
      </c>
      <c r="E18" s="13">
        <v>14583635</v>
      </c>
      <c r="F18" s="13">
        <v>19107637</v>
      </c>
      <c r="G18" s="14">
        <v>3.8</v>
      </c>
      <c r="H18" s="14">
        <v>0.76</v>
      </c>
      <c r="I18" s="13">
        <v>1215302.9166666667</v>
      </c>
      <c r="J18" s="15">
        <v>1</v>
      </c>
      <c r="K18" s="13">
        <v>71405232.783333376</v>
      </c>
      <c r="L18" s="13">
        <v>34405261.700000048</v>
      </c>
      <c r="M18" s="13">
        <v>24851443.200000048</v>
      </c>
      <c r="N18" s="197">
        <v>43647</v>
      </c>
      <c r="O18" s="16">
        <v>45474</v>
      </c>
      <c r="P18" s="13">
        <v>1566920.73</v>
      </c>
      <c r="Q18" s="242" t="e">
        <v>#VALUE!</v>
      </c>
    </row>
    <row r="19" spans="1:17" x14ac:dyDescent="0.2">
      <c r="A19" s="4" t="s">
        <v>40</v>
      </c>
      <c r="B19" s="13">
        <v>500565228.91000003</v>
      </c>
      <c r="C19" s="13">
        <v>461131591.19999999</v>
      </c>
      <c r="D19" s="13">
        <v>39433637.710000038</v>
      </c>
      <c r="E19" s="13">
        <v>5991238.25</v>
      </c>
      <c r="F19" s="13">
        <v>10539100</v>
      </c>
      <c r="G19" s="14">
        <v>3.74</v>
      </c>
      <c r="H19" s="14">
        <v>0.56999999999999995</v>
      </c>
      <c r="I19" s="13">
        <v>499269.85416666669</v>
      </c>
      <c r="J19" s="15">
        <v>1</v>
      </c>
      <c r="K19" s="13">
        <v>38934367.855833374</v>
      </c>
      <c r="L19" s="13">
        <v>18355437.710000038</v>
      </c>
      <c r="M19" s="13">
        <v>13085887.710000038</v>
      </c>
      <c r="N19" s="197">
        <v>43647</v>
      </c>
      <c r="O19" s="16">
        <v>45474</v>
      </c>
      <c r="P19" s="13">
        <v>245390.23</v>
      </c>
      <c r="Q19" s="242" t="e">
        <v>#VALUE!</v>
      </c>
    </row>
    <row r="20" spans="1:17" x14ac:dyDescent="0.2">
      <c r="A20" s="4" t="s">
        <v>54</v>
      </c>
      <c r="B20" s="13">
        <v>1022430792.45</v>
      </c>
      <c r="C20" s="13">
        <v>949724829.03999996</v>
      </c>
      <c r="D20" s="13">
        <v>72705963.410000086</v>
      </c>
      <c r="E20" s="13">
        <v>25123646.18</v>
      </c>
      <c r="F20" s="13">
        <v>19809810</v>
      </c>
      <c r="G20" s="14">
        <v>3.67</v>
      </c>
      <c r="H20" s="14">
        <v>1.27</v>
      </c>
      <c r="I20" s="13">
        <v>2093637.1816666666</v>
      </c>
      <c r="J20" s="15">
        <v>0</v>
      </c>
      <c r="K20" s="13">
        <v>72705963.410000086</v>
      </c>
      <c r="L20" s="13" t="s">
        <v>193</v>
      </c>
      <c r="M20" s="13" t="s">
        <v>193</v>
      </c>
      <c r="N20" s="197">
        <v>43922</v>
      </c>
      <c r="O20" s="16">
        <v>45383</v>
      </c>
      <c r="P20" s="13">
        <v>2241502</v>
      </c>
      <c r="Q20" s="242" t="e">
        <v>#VALUE!</v>
      </c>
    </row>
    <row r="21" spans="1:17" x14ac:dyDescent="0.2">
      <c r="A21" s="4" t="s">
        <v>16</v>
      </c>
      <c r="B21" s="13">
        <v>104394118</v>
      </c>
      <c r="C21" s="13">
        <v>95319723.849999994</v>
      </c>
      <c r="D21" s="13">
        <v>9074394.150000006</v>
      </c>
      <c r="E21" s="13">
        <v>1606592.24</v>
      </c>
      <c r="F21" s="13">
        <v>2677355</v>
      </c>
      <c r="G21" s="14">
        <v>3.39</v>
      </c>
      <c r="H21" s="14">
        <v>0.6</v>
      </c>
      <c r="I21" s="13">
        <v>133882.68666666668</v>
      </c>
      <c r="J21" s="15">
        <v>1</v>
      </c>
      <c r="K21" s="13">
        <v>8940511.4633333385</v>
      </c>
      <c r="L21" s="13">
        <v>3719684.150000006</v>
      </c>
      <c r="M21" s="13">
        <v>2381006.650000006</v>
      </c>
      <c r="N21" s="197">
        <v>43647</v>
      </c>
      <c r="O21" s="16">
        <v>45474</v>
      </c>
      <c r="P21" s="13">
        <v>101456.26</v>
      </c>
      <c r="Q21" s="242" t="e">
        <v>#VALUE!</v>
      </c>
    </row>
    <row r="22" spans="1:17" x14ac:dyDescent="0.2">
      <c r="A22" s="4" t="s">
        <v>43</v>
      </c>
      <c r="B22" s="13">
        <v>300551063.33999997</v>
      </c>
      <c r="C22" s="13">
        <v>277705099.94999999</v>
      </c>
      <c r="D22" s="13">
        <v>22845963.389999986</v>
      </c>
      <c r="E22" s="13">
        <v>10797107.699999999</v>
      </c>
      <c r="F22" s="13">
        <v>6730317</v>
      </c>
      <c r="G22" s="14">
        <v>3.39</v>
      </c>
      <c r="H22" s="14">
        <v>1.6</v>
      </c>
      <c r="I22" s="13">
        <v>899758.97499999998</v>
      </c>
      <c r="J22" s="15">
        <v>1</v>
      </c>
      <c r="K22" s="13">
        <v>21946204.414999984</v>
      </c>
      <c r="L22" s="13">
        <v>9385329.3899999857</v>
      </c>
      <c r="M22" s="13">
        <v>6020170.8899999857</v>
      </c>
      <c r="N22" s="197">
        <v>43647</v>
      </c>
      <c r="O22" s="16">
        <v>45474</v>
      </c>
      <c r="P22" s="13">
        <v>1554084.61</v>
      </c>
      <c r="Q22" s="242" t="e">
        <v>#VALUE!</v>
      </c>
    </row>
    <row r="23" spans="1:17" x14ac:dyDescent="0.2">
      <c r="A23" s="4" t="s">
        <v>38</v>
      </c>
      <c r="B23" s="13">
        <v>1010324720</v>
      </c>
      <c r="C23" s="13">
        <v>933309329.44000006</v>
      </c>
      <c r="D23" s="13">
        <v>77015390.559999943</v>
      </c>
      <c r="E23" s="13">
        <v>31569289.68</v>
      </c>
      <c r="F23" s="13">
        <v>23059848</v>
      </c>
      <c r="G23" s="14">
        <v>3.34</v>
      </c>
      <c r="H23" s="14">
        <v>1.37</v>
      </c>
      <c r="I23" s="13">
        <v>2630774.14</v>
      </c>
      <c r="J23" s="15">
        <v>0</v>
      </c>
      <c r="K23" s="13">
        <v>77015390.559999943</v>
      </c>
      <c r="L23" s="13" t="s">
        <v>193</v>
      </c>
      <c r="M23" s="13" t="s">
        <v>193</v>
      </c>
      <c r="N23" s="197">
        <v>43922</v>
      </c>
      <c r="O23" s="16">
        <v>45383</v>
      </c>
      <c r="P23" s="13">
        <v>1280307.3700000001</v>
      </c>
      <c r="Q23" s="242" t="e">
        <v>#VALUE!</v>
      </c>
    </row>
    <row r="24" spans="1:17" x14ac:dyDescent="0.2">
      <c r="A24" s="4" t="s">
        <v>55</v>
      </c>
      <c r="B24" s="13">
        <v>254239457</v>
      </c>
      <c r="C24" s="13">
        <v>235382327.47999999</v>
      </c>
      <c r="D24" s="13">
        <v>18857129.520000011</v>
      </c>
      <c r="E24" s="13">
        <v>4614705.42</v>
      </c>
      <c r="F24" s="13">
        <v>5680880</v>
      </c>
      <c r="G24" s="14">
        <v>3.32</v>
      </c>
      <c r="H24" s="14">
        <v>0.81</v>
      </c>
      <c r="I24" s="13">
        <v>384558.78499999997</v>
      </c>
      <c r="J24" s="15">
        <v>7</v>
      </c>
      <c r="K24" s="13">
        <v>16165218.025000012</v>
      </c>
      <c r="L24" s="13">
        <v>1070767.0742857158</v>
      </c>
      <c r="M24" s="13">
        <v>664989.93142857298</v>
      </c>
      <c r="N24" s="197">
        <v>43831</v>
      </c>
      <c r="O24" s="16">
        <v>45658</v>
      </c>
      <c r="P24" s="13">
        <v>272477.53999999998</v>
      </c>
      <c r="Q24" s="242" t="e">
        <v>#VALUE!</v>
      </c>
    </row>
    <row r="25" spans="1:17" x14ac:dyDescent="0.2">
      <c r="A25" s="4" t="s">
        <v>51</v>
      </c>
      <c r="B25" s="13">
        <v>2001064841.29</v>
      </c>
      <c r="C25" s="13">
        <v>1873943415.6199999</v>
      </c>
      <c r="D25" s="13">
        <v>127121425.67000008</v>
      </c>
      <c r="E25" s="13">
        <v>38461554.93</v>
      </c>
      <c r="F25" s="13">
        <v>40779947</v>
      </c>
      <c r="G25" s="14">
        <v>3.12</v>
      </c>
      <c r="H25" s="14">
        <v>0.94</v>
      </c>
      <c r="I25" s="13">
        <v>3205129.5775000001</v>
      </c>
      <c r="J25" s="15">
        <v>7</v>
      </c>
      <c r="K25" s="13">
        <v>104685518.62750007</v>
      </c>
      <c r="L25" s="13">
        <v>6508790.2385714399</v>
      </c>
      <c r="M25" s="13">
        <v>3595936.8814285821</v>
      </c>
      <c r="N25" s="197">
        <v>43831</v>
      </c>
      <c r="O25" s="16">
        <v>45658</v>
      </c>
      <c r="P25" s="13">
        <v>2208583.5</v>
      </c>
      <c r="Q25" s="242" t="e">
        <v>#VALUE!</v>
      </c>
    </row>
    <row r="26" spans="1:17" x14ac:dyDescent="0.2">
      <c r="A26" s="4" t="s">
        <v>28</v>
      </c>
      <c r="B26" s="13">
        <v>1059732308</v>
      </c>
      <c r="C26" s="13">
        <v>985203499.45000005</v>
      </c>
      <c r="D26" s="13">
        <v>74528808.549999952</v>
      </c>
      <c r="E26" s="13">
        <v>16573135.300000001</v>
      </c>
      <c r="F26" s="13">
        <v>24168777</v>
      </c>
      <c r="G26" s="14">
        <v>3.08</v>
      </c>
      <c r="H26" s="14">
        <v>0.69</v>
      </c>
      <c r="I26" s="13">
        <v>1381094.6083333334</v>
      </c>
      <c r="J26" s="15">
        <v>7</v>
      </c>
      <c r="K26" s="13">
        <v>64861146.291666619</v>
      </c>
      <c r="L26" s="13">
        <v>3741607.7928571361</v>
      </c>
      <c r="M26" s="13">
        <v>2015266.5785714218</v>
      </c>
      <c r="N26" s="197">
        <v>43831</v>
      </c>
      <c r="O26" s="16">
        <v>45658</v>
      </c>
      <c r="P26" s="13">
        <v>1547998.46</v>
      </c>
      <c r="Q26" s="242" t="e">
        <v>#VALUE!</v>
      </c>
    </row>
    <row r="27" spans="1:17" x14ac:dyDescent="0.2">
      <c r="A27" s="4" t="s">
        <v>45</v>
      </c>
      <c r="B27" s="13">
        <v>1228777673.53</v>
      </c>
      <c r="C27" s="13">
        <v>1085205063.1600001</v>
      </c>
      <c r="D27" s="13">
        <v>143572610.36999989</v>
      </c>
      <c r="E27" s="13">
        <v>54387063.240000002</v>
      </c>
      <c r="F27" s="13">
        <v>47456120</v>
      </c>
      <c r="G27" s="14">
        <v>3.03</v>
      </c>
      <c r="H27" s="14">
        <v>1.1499999999999999</v>
      </c>
      <c r="I27" s="13">
        <v>4532255.2700000005</v>
      </c>
      <c r="J27" s="15">
        <v>7</v>
      </c>
      <c r="K27" s="13">
        <v>111846823.47999988</v>
      </c>
      <c r="L27" s="13">
        <v>6951481.4814285552</v>
      </c>
      <c r="M27" s="13" t="s">
        <v>192</v>
      </c>
      <c r="N27" s="197">
        <v>43831</v>
      </c>
      <c r="O27" s="16">
        <v>45658</v>
      </c>
      <c r="P27" s="13">
        <v>2134771.17</v>
      </c>
      <c r="Q27" s="242" t="e">
        <v>#VALUE!</v>
      </c>
    </row>
    <row r="28" spans="1:17" x14ac:dyDescent="0.2">
      <c r="A28" s="4" t="s">
        <v>33</v>
      </c>
      <c r="B28" s="13">
        <v>314446387.48000002</v>
      </c>
      <c r="C28" s="13">
        <v>289463907.63</v>
      </c>
      <c r="D28" s="13">
        <v>24982479.850000024</v>
      </c>
      <c r="E28" s="13">
        <v>8418087.5399999991</v>
      </c>
      <c r="F28" s="13">
        <v>8369791</v>
      </c>
      <c r="G28" s="14">
        <v>2.98</v>
      </c>
      <c r="H28" s="14">
        <v>1.01</v>
      </c>
      <c r="I28" s="13">
        <v>701507.29499999993</v>
      </c>
      <c r="J28" s="15">
        <v>1</v>
      </c>
      <c r="K28" s="13">
        <v>24280972.555000022</v>
      </c>
      <c r="L28" s="13">
        <v>8242897.8500000238</v>
      </c>
      <c r="M28" s="13">
        <v>4058002.3500000238</v>
      </c>
      <c r="N28" s="197">
        <v>43647</v>
      </c>
      <c r="O28" s="16">
        <v>45474</v>
      </c>
      <c r="P28" s="13">
        <v>214651.05</v>
      </c>
      <c r="Q28" s="242" t="e">
        <v>#VALUE!</v>
      </c>
    </row>
    <row r="29" spans="1:17" x14ac:dyDescent="0.2">
      <c r="A29" s="4" t="s">
        <v>24</v>
      </c>
      <c r="B29" s="13">
        <v>1642297566.0699999</v>
      </c>
      <c r="C29" s="13">
        <v>1521966126.8699999</v>
      </c>
      <c r="D29" s="13">
        <v>120331439.20000005</v>
      </c>
      <c r="E29" s="13">
        <v>37604886.920000002</v>
      </c>
      <c r="F29" s="13">
        <v>40984884</v>
      </c>
      <c r="G29" s="14">
        <v>2.94</v>
      </c>
      <c r="H29" s="14">
        <v>0.92</v>
      </c>
      <c r="I29" s="13">
        <v>3133740.5766666667</v>
      </c>
      <c r="J29" s="15">
        <v>1</v>
      </c>
      <c r="K29" s="13">
        <v>117197698.62333338</v>
      </c>
      <c r="L29" s="13">
        <v>38361671.200000048</v>
      </c>
      <c r="M29" s="13">
        <v>17869229.200000048</v>
      </c>
      <c r="N29" s="197">
        <v>43647</v>
      </c>
      <c r="O29" s="16">
        <v>45474</v>
      </c>
      <c r="P29" s="13">
        <v>3033173.84</v>
      </c>
      <c r="Q29" s="242" t="e">
        <v>#VALUE!</v>
      </c>
    </row>
    <row r="30" spans="1:17" x14ac:dyDescent="0.2">
      <c r="A30" s="4" t="s">
        <v>37</v>
      </c>
      <c r="B30" s="13">
        <v>1239472339.1700001</v>
      </c>
      <c r="C30" s="13">
        <v>1168600702.54</v>
      </c>
      <c r="D30" s="13">
        <v>70871636.630000114</v>
      </c>
      <c r="E30" s="13">
        <v>21456851.190000001</v>
      </c>
      <c r="F30" s="13">
        <v>24088947</v>
      </c>
      <c r="G30" s="14">
        <v>2.94</v>
      </c>
      <c r="H30" s="14">
        <v>0.89</v>
      </c>
      <c r="I30" s="13">
        <v>1788070.9325000001</v>
      </c>
      <c r="J30" s="15">
        <v>1</v>
      </c>
      <c r="K30" s="13">
        <v>69083565.69750011</v>
      </c>
      <c r="L30" s="13">
        <v>22693742.630000114</v>
      </c>
      <c r="M30" s="13">
        <v>10649269.130000114</v>
      </c>
      <c r="N30" s="197">
        <v>43647</v>
      </c>
      <c r="O30" s="16">
        <v>45474</v>
      </c>
      <c r="P30" s="13">
        <v>1988596.22</v>
      </c>
      <c r="Q30" s="242" t="e">
        <v>#VALUE!</v>
      </c>
    </row>
    <row r="31" spans="1:17" x14ac:dyDescent="0.2">
      <c r="A31" s="4" t="s">
        <v>29</v>
      </c>
      <c r="B31" s="13">
        <v>675052951</v>
      </c>
      <c r="C31" s="13">
        <v>633192601.21000004</v>
      </c>
      <c r="D31" s="13">
        <v>41860349.789999962</v>
      </c>
      <c r="E31" s="13">
        <v>10031558.73</v>
      </c>
      <c r="F31" s="13">
        <v>14786581</v>
      </c>
      <c r="G31" s="14">
        <v>2.83</v>
      </c>
      <c r="H31" s="14">
        <v>0.68</v>
      </c>
      <c r="I31" s="13">
        <v>835963.22750000004</v>
      </c>
      <c r="J31" s="15">
        <v>7</v>
      </c>
      <c r="K31" s="13">
        <v>36008607.197499961</v>
      </c>
      <c r="L31" s="13">
        <v>1755312.541428566</v>
      </c>
      <c r="M31" s="13" t="s">
        <v>192</v>
      </c>
      <c r="N31" s="197">
        <v>43466</v>
      </c>
      <c r="O31" s="16">
        <v>45658</v>
      </c>
      <c r="P31" s="13">
        <v>640395.59</v>
      </c>
      <c r="Q31" s="242" t="e">
        <v>#VALUE!</v>
      </c>
    </row>
    <row r="32" spans="1:17" x14ac:dyDescent="0.2">
      <c r="A32" s="4" t="s">
        <v>20</v>
      </c>
      <c r="B32" s="13">
        <v>392634217.93000001</v>
      </c>
      <c r="C32" s="13">
        <v>366389821.02999997</v>
      </c>
      <c r="D32" s="13">
        <v>26244396.900000036</v>
      </c>
      <c r="E32" s="13">
        <v>16882787.969999999</v>
      </c>
      <c r="F32" s="13">
        <v>9305817</v>
      </c>
      <c r="G32" s="14">
        <v>2.82</v>
      </c>
      <c r="H32" s="14">
        <v>1.81</v>
      </c>
      <c r="I32" s="13">
        <v>1406898.9974999998</v>
      </c>
      <c r="J32" s="15">
        <v>0</v>
      </c>
      <c r="K32" s="13">
        <v>26244396.900000036</v>
      </c>
      <c r="L32" s="13" t="s">
        <v>193</v>
      </c>
      <c r="M32" s="13" t="s">
        <v>193</v>
      </c>
      <c r="N32" s="197">
        <v>43556</v>
      </c>
      <c r="O32" s="16">
        <v>45383</v>
      </c>
      <c r="P32" s="13">
        <v>613509.91</v>
      </c>
      <c r="Q32" s="242" t="e">
        <v>#VALUE!</v>
      </c>
    </row>
    <row r="33" spans="1:17" x14ac:dyDescent="0.2">
      <c r="A33" s="4" t="s">
        <v>21</v>
      </c>
      <c r="B33" s="13">
        <v>528328839.02999997</v>
      </c>
      <c r="C33" s="13">
        <v>490180864.73000002</v>
      </c>
      <c r="D33" s="13">
        <v>38147974.299999952</v>
      </c>
      <c r="E33" s="13">
        <v>21700267.129999999</v>
      </c>
      <c r="F33" s="13">
        <v>13880022</v>
      </c>
      <c r="G33" s="14">
        <v>2.75</v>
      </c>
      <c r="H33" s="14">
        <v>1.56</v>
      </c>
      <c r="I33" s="13">
        <v>1808355.5941666665</v>
      </c>
      <c r="J33" s="15">
        <v>1</v>
      </c>
      <c r="K33" s="13">
        <v>36339618.705833286</v>
      </c>
      <c r="L33" s="13">
        <v>10387930.299999952</v>
      </c>
      <c r="M33" s="13">
        <v>3447919.2999999523</v>
      </c>
      <c r="N33" s="197">
        <v>43647</v>
      </c>
      <c r="O33" s="16">
        <v>45474</v>
      </c>
      <c r="P33" s="13">
        <v>0</v>
      </c>
      <c r="Q33" s="242" t="e">
        <v>#VALUE!</v>
      </c>
    </row>
    <row r="34" spans="1:17" x14ac:dyDescent="0.2">
      <c r="A34" s="4" t="s">
        <v>56</v>
      </c>
      <c r="B34" s="13">
        <v>1154905413</v>
      </c>
      <c r="C34" s="13">
        <v>1079392075.2</v>
      </c>
      <c r="D34" s="13">
        <v>75513337.799999952</v>
      </c>
      <c r="E34" s="13">
        <v>22934865.66</v>
      </c>
      <c r="F34" s="13">
        <v>27571438</v>
      </c>
      <c r="G34" s="14">
        <v>2.74</v>
      </c>
      <c r="H34" s="14">
        <v>0.83</v>
      </c>
      <c r="I34" s="13">
        <v>1911238.8049999999</v>
      </c>
      <c r="J34" s="15">
        <v>1</v>
      </c>
      <c r="K34" s="13">
        <v>73602098.994999945</v>
      </c>
      <c r="L34" s="13">
        <v>20370461.799999952</v>
      </c>
      <c r="M34" s="13">
        <v>6584742.7999999523</v>
      </c>
      <c r="N34" s="197">
        <v>43647</v>
      </c>
      <c r="O34" s="16">
        <v>45474</v>
      </c>
      <c r="P34" s="13">
        <v>1205224.33</v>
      </c>
      <c r="Q34" s="242" t="e">
        <v>#VALUE!</v>
      </c>
    </row>
    <row r="35" spans="1:17" x14ac:dyDescent="0.2">
      <c r="A35" s="4" t="s">
        <v>42</v>
      </c>
      <c r="B35" s="13">
        <v>346058940</v>
      </c>
      <c r="C35" s="13">
        <v>321905098.80000001</v>
      </c>
      <c r="D35" s="13">
        <v>24153841.199999988</v>
      </c>
      <c r="E35" s="13">
        <v>5275579.6900000004</v>
      </c>
      <c r="F35" s="13">
        <v>9353201</v>
      </c>
      <c r="G35" s="14">
        <v>2.58</v>
      </c>
      <c r="H35" s="14">
        <v>0.56000000000000005</v>
      </c>
      <c r="I35" s="13">
        <v>439631.64083333337</v>
      </c>
      <c r="J35" s="15">
        <v>7</v>
      </c>
      <c r="K35" s="13">
        <v>21076419.714166656</v>
      </c>
      <c r="L35" s="13">
        <v>778205.59999999835</v>
      </c>
      <c r="M35" s="13" t="s">
        <v>192</v>
      </c>
      <c r="N35" s="197">
        <v>43831</v>
      </c>
      <c r="O35" s="16">
        <v>45658</v>
      </c>
      <c r="P35" s="13">
        <v>203791.08</v>
      </c>
      <c r="Q35" s="242" t="e">
        <v>#VALUE!</v>
      </c>
    </row>
    <row r="36" spans="1:17" x14ac:dyDescent="0.2">
      <c r="A36" s="4" t="s">
        <v>57</v>
      </c>
      <c r="B36" s="13">
        <v>2879313105.54</v>
      </c>
      <c r="C36" s="13">
        <v>2698630464.4699998</v>
      </c>
      <c r="D36" s="13">
        <v>180682641.07000017</v>
      </c>
      <c r="E36" s="13">
        <v>77931486.219999999</v>
      </c>
      <c r="F36" s="13">
        <v>70613641</v>
      </c>
      <c r="G36" s="14">
        <v>2.56</v>
      </c>
      <c r="H36" s="14">
        <v>1.1000000000000001</v>
      </c>
      <c r="I36" s="13">
        <v>6494290.5183333335</v>
      </c>
      <c r="J36" s="15">
        <v>3</v>
      </c>
      <c r="K36" s="13">
        <v>161199769.51500016</v>
      </c>
      <c r="L36" s="13">
        <v>13151786.356666723</v>
      </c>
      <c r="M36" s="13" t="s">
        <v>192</v>
      </c>
      <c r="N36" s="197">
        <v>44075</v>
      </c>
      <c r="O36" s="16">
        <v>45536</v>
      </c>
      <c r="P36" s="13">
        <v>4601892.1399999997</v>
      </c>
      <c r="Q36" s="242" t="e">
        <v>#VALUE!</v>
      </c>
    </row>
    <row r="37" spans="1:17" x14ac:dyDescent="0.2">
      <c r="A37" s="4" t="s">
        <v>50</v>
      </c>
      <c r="B37" s="13">
        <v>545409679.30999994</v>
      </c>
      <c r="C37" s="13">
        <v>515638245.31</v>
      </c>
      <c r="D37" s="13">
        <v>29771433.99999994</v>
      </c>
      <c r="E37" s="13">
        <v>15411647.83</v>
      </c>
      <c r="F37" s="13">
        <v>11656242</v>
      </c>
      <c r="G37" s="14">
        <v>2.5499999999999998</v>
      </c>
      <c r="H37" s="14">
        <v>1.32</v>
      </c>
      <c r="I37" s="13">
        <v>1284303.9858333333</v>
      </c>
      <c r="J37" s="15">
        <v>7</v>
      </c>
      <c r="K37" s="13">
        <v>20781306.099166609</v>
      </c>
      <c r="L37" s="13" t="s">
        <v>192</v>
      </c>
      <c r="M37" s="13" t="s">
        <v>192</v>
      </c>
      <c r="N37" s="197">
        <v>43831</v>
      </c>
      <c r="O37" s="16">
        <v>45658</v>
      </c>
      <c r="P37" s="13">
        <v>287665</v>
      </c>
      <c r="Q37" s="242" t="e">
        <v>#VALUE!</v>
      </c>
    </row>
    <row r="38" spans="1:17" x14ac:dyDescent="0.2">
      <c r="A38" s="4" t="s">
        <v>61</v>
      </c>
      <c r="B38" s="13">
        <v>522049097</v>
      </c>
      <c r="C38" s="13">
        <v>489092055.63</v>
      </c>
      <c r="D38" s="13">
        <v>32957041.370000005</v>
      </c>
      <c r="E38" s="13">
        <v>15268939.91</v>
      </c>
      <c r="F38" s="13">
        <v>13105608</v>
      </c>
      <c r="G38" s="14">
        <v>2.5099999999999998</v>
      </c>
      <c r="H38" s="14">
        <v>1.17</v>
      </c>
      <c r="I38" s="13">
        <v>1272411.6591666667</v>
      </c>
      <c r="J38" s="15">
        <v>1</v>
      </c>
      <c r="K38" s="13">
        <v>31684629.710833337</v>
      </c>
      <c r="L38" s="13">
        <v>6745825.3700000048</v>
      </c>
      <c r="M38" s="13" t="s">
        <v>192</v>
      </c>
      <c r="N38" s="197">
        <v>43647</v>
      </c>
      <c r="O38" s="16">
        <v>45474</v>
      </c>
      <c r="P38" s="13">
        <v>824694.91</v>
      </c>
      <c r="Q38" s="242" t="e">
        <v>#VALUE!</v>
      </c>
    </row>
    <row r="39" spans="1:17" x14ac:dyDescent="0.2">
      <c r="A39" s="4" t="s">
        <v>34</v>
      </c>
      <c r="B39" s="13">
        <v>1394382977.99</v>
      </c>
      <c r="C39" s="13">
        <v>1308077765.51</v>
      </c>
      <c r="D39" s="13">
        <v>86305212.480000019</v>
      </c>
      <c r="E39" s="13">
        <v>36145091.829999998</v>
      </c>
      <c r="F39" s="13">
        <v>34869850</v>
      </c>
      <c r="G39" s="14">
        <v>2.48</v>
      </c>
      <c r="H39" s="14">
        <v>1.04</v>
      </c>
      <c r="I39" s="13">
        <v>3012090.9858333333</v>
      </c>
      <c r="J39" s="15">
        <v>0</v>
      </c>
      <c r="K39" s="13">
        <v>86305212.480000019</v>
      </c>
      <c r="L39" s="13" t="s">
        <v>193</v>
      </c>
      <c r="M39" s="13" t="s">
        <v>192</v>
      </c>
      <c r="N39" s="197">
        <v>43922</v>
      </c>
      <c r="O39" s="16">
        <v>45383</v>
      </c>
      <c r="P39" s="13">
        <v>2228079.0099999998</v>
      </c>
      <c r="Q39" s="242" t="e">
        <v>#VALUE!</v>
      </c>
    </row>
    <row r="40" spans="1:17" x14ac:dyDescent="0.2">
      <c r="A40" s="4" t="s">
        <v>15</v>
      </c>
      <c r="B40" s="13">
        <v>1085275104.5</v>
      </c>
      <c r="C40" s="13">
        <v>1028782385</v>
      </c>
      <c r="D40" s="13">
        <v>56492719.5</v>
      </c>
      <c r="E40" s="13">
        <v>20798356.670000002</v>
      </c>
      <c r="F40" s="13">
        <v>22858857</v>
      </c>
      <c r="G40" s="14">
        <v>2.4700000000000002</v>
      </c>
      <c r="H40" s="14">
        <v>0.91</v>
      </c>
      <c r="I40" s="13">
        <v>1733196.3891666669</v>
      </c>
      <c r="J40" s="15">
        <v>0</v>
      </c>
      <c r="K40" s="13">
        <v>56492719.5</v>
      </c>
      <c r="L40" s="13" t="s">
        <v>193</v>
      </c>
      <c r="M40" s="13" t="s">
        <v>192</v>
      </c>
      <c r="N40" s="197">
        <v>43556</v>
      </c>
      <c r="O40" s="16">
        <v>45383</v>
      </c>
      <c r="P40" s="13">
        <v>1365640.67</v>
      </c>
      <c r="Q40" s="242" t="e">
        <v>#VALUE!</v>
      </c>
    </row>
    <row r="41" spans="1:17" x14ac:dyDescent="0.2">
      <c r="A41" s="4" t="s">
        <v>27</v>
      </c>
      <c r="B41" s="13">
        <v>1309738768.5599999</v>
      </c>
      <c r="C41" s="13">
        <v>1237022726.5599999</v>
      </c>
      <c r="D41" s="13">
        <v>72716042</v>
      </c>
      <c r="E41" s="13">
        <v>26782843.48</v>
      </c>
      <c r="F41" s="13">
        <v>30738746</v>
      </c>
      <c r="G41" s="14">
        <v>2.37</v>
      </c>
      <c r="H41" s="14">
        <v>0.87</v>
      </c>
      <c r="I41" s="13">
        <v>2231903.6233333335</v>
      </c>
      <c r="J41" s="15">
        <v>1</v>
      </c>
      <c r="K41" s="13">
        <v>70484138.376666665</v>
      </c>
      <c r="L41" s="13">
        <v>11238550</v>
      </c>
      <c r="M41" s="13" t="s">
        <v>192</v>
      </c>
      <c r="N41" s="197">
        <v>43647</v>
      </c>
      <c r="O41" s="16">
        <v>45474</v>
      </c>
      <c r="P41" s="13">
        <v>2648045.89</v>
      </c>
      <c r="Q41" s="242" t="e">
        <v>#VALUE!</v>
      </c>
    </row>
    <row r="42" spans="1:17" x14ac:dyDescent="0.2">
      <c r="A42" s="4" t="s">
        <v>31</v>
      </c>
      <c r="B42" s="13">
        <v>1205115490</v>
      </c>
      <c r="C42" s="13">
        <v>1152569119.5999999</v>
      </c>
      <c r="D42" s="13">
        <v>52546370.400000095</v>
      </c>
      <c r="E42" s="13">
        <v>25394263.77</v>
      </c>
      <c r="F42" s="13">
        <v>22499042</v>
      </c>
      <c r="G42" s="14">
        <v>2.34</v>
      </c>
      <c r="H42" s="14">
        <v>1.1299999999999999</v>
      </c>
      <c r="I42" s="13">
        <v>2116188.6475</v>
      </c>
      <c r="J42" s="15">
        <v>0</v>
      </c>
      <c r="K42" s="13">
        <v>52546370.400000095</v>
      </c>
      <c r="L42" s="13" t="s">
        <v>193</v>
      </c>
      <c r="M42" s="13" t="s">
        <v>192</v>
      </c>
      <c r="N42" s="197">
        <v>43922</v>
      </c>
      <c r="O42" s="16">
        <v>45383</v>
      </c>
      <c r="P42" s="13">
        <v>1569208.37</v>
      </c>
      <c r="Q42" s="242" t="e">
        <v>#VALUE!</v>
      </c>
    </row>
    <row r="43" spans="1:17" x14ac:dyDescent="0.2">
      <c r="A43" s="4" t="s">
        <v>25</v>
      </c>
      <c r="B43" s="13">
        <v>342887810.45999998</v>
      </c>
      <c r="C43" s="13">
        <v>323990266.25999999</v>
      </c>
      <c r="D43" s="13">
        <v>18897544.199999988</v>
      </c>
      <c r="E43" s="13">
        <v>8664733.9100000001</v>
      </c>
      <c r="F43" s="13">
        <v>8236180</v>
      </c>
      <c r="G43" s="14">
        <v>2.29</v>
      </c>
      <c r="H43" s="14">
        <v>1.05</v>
      </c>
      <c r="I43" s="13">
        <v>722061.15916666668</v>
      </c>
      <c r="J43" s="15">
        <v>0</v>
      </c>
      <c r="K43" s="13">
        <v>18897544.199999988</v>
      </c>
      <c r="L43" s="13" t="s">
        <v>193</v>
      </c>
      <c r="M43" s="13" t="s">
        <v>192</v>
      </c>
      <c r="N43" s="197">
        <v>43556</v>
      </c>
      <c r="O43" s="16">
        <v>45383</v>
      </c>
      <c r="P43" s="13">
        <v>525850.76</v>
      </c>
      <c r="Q43" s="242" t="e">
        <v>#VALUE!</v>
      </c>
    </row>
    <row r="44" spans="1:17" x14ac:dyDescent="0.2">
      <c r="A44" s="4" t="s">
        <v>59</v>
      </c>
      <c r="B44" s="13">
        <v>277600986</v>
      </c>
      <c r="C44" s="13">
        <v>260607124.03</v>
      </c>
      <c r="D44" s="13">
        <v>16993861.969999999</v>
      </c>
      <c r="E44" s="13">
        <v>8338191.5499999998</v>
      </c>
      <c r="F44" s="13">
        <v>7461397</v>
      </c>
      <c r="G44" s="14">
        <v>2.2799999999999998</v>
      </c>
      <c r="H44" s="14">
        <v>1.1200000000000001</v>
      </c>
      <c r="I44" s="13">
        <v>694849.29583333328</v>
      </c>
      <c r="J44" s="15">
        <v>1</v>
      </c>
      <c r="K44" s="13">
        <v>16299012.674166666</v>
      </c>
      <c r="L44" s="13">
        <v>2071067.9699999988</v>
      </c>
      <c r="M44" s="13" t="s">
        <v>192</v>
      </c>
      <c r="N44" s="197">
        <v>43647</v>
      </c>
      <c r="O44" s="16">
        <v>45474</v>
      </c>
      <c r="P44" s="13">
        <v>1477946.44</v>
      </c>
      <c r="Q44" s="242" t="e">
        <v>#VALUE!</v>
      </c>
    </row>
    <row r="45" spans="1:17" x14ac:dyDescent="0.2">
      <c r="A45" s="4" t="s">
        <v>41</v>
      </c>
      <c r="B45" s="13">
        <v>98701064</v>
      </c>
      <c r="C45" s="13">
        <v>92616233.099999994</v>
      </c>
      <c r="D45" s="13">
        <v>6084830.900000006</v>
      </c>
      <c r="E45" s="13">
        <v>4894835.9800000004</v>
      </c>
      <c r="F45" s="13">
        <v>2898567</v>
      </c>
      <c r="G45" s="14">
        <v>2.1</v>
      </c>
      <c r="H45" s="14">
        <v>1.69</v>
      </c>
      <c r="I45" s="13">
        <v>407902.99833333335</v>
      </c>
      <c r="J45" s="15">
        <v>1</v>
      </c>
      <c r="K45" s="13">
        <v>5676927.9016666729</v>
      </c>
      <c r="L45" s="13" t="s">
        <v>192</v>
      </c>
      <c r="M45" s="13" t="s">
        <v>192</v>
      </c>
      <c r="N45" s="197">
        <v>43647</v>
      </c>
      <c r="O45" s="16">
        <v>45474</v>
      </c>
      <c r="P45" s="13">
        <v>108794.5</v>
      </c>
      <c r="Q45" s="242" t="e">
        <v>#VALUE!</v>
      </c>
    </row>
    <row r="46" spans="1:17" x14ac:dyDescent="0.2">
      <c r="A46" s="4" t="s">
        <v>49</v>
      </c>
      <c r="B46" s="13">
        <v>685388676.61000001</v>
      </c>
      <c r="C46" s="13">
        <v>656955899.63</v>
      </c>
      <c r="D46" s="13">
        <v>28432776.980000019</v>
      </c>
      <c r="E46" s="13">
        <v>16804912.219999999</v>
      </c>
      <c r="F46" s="13">
        <v>13963452</v>
      </c>
      <c r="G46" s="14">
        <v>2.04</v>
      </c>
      <c r="H46" s="14">
        <v>1.2</v>
      </c>
      <c r="I46" s="13">
        <v>1400409.3516666666</v>
      </c>
      <c r="J46" s="15">
        <v>0</v>
      </c>
      <c r="K46" s="13">
        <v>28432776.980000019</v>
      </c>
      <c r="L46" s="13" t="s">
        <v>193</v>
      </c>
      <c r="M46" s="13" t="s">
        <v>192</v>
      </c>
      <c r="N46" s="197">
        <v>43922</v>
      </c>
      <c r="O46" s="16">
        <v>45383</v>
      </c>
      <c r="P46" s="13">
        <v>681121.09</v>
      </c>
      <c r="Q46" s="242" t="e">
        <v>#VALUE!</v>
      </c>
    </row>
    <row r="47" spans="1:17" x14ac:dyDescent="0.2">
      <c r="A47" s="4" t="s">
        <v>48</v>
      </c>
      <c r="B47" s="13">
        <v>1940110596.77</v>
      </c>
      <c r="C47" s="13">
        <v>1848059338.45</v>
      </c>
      <c r="D47" s="13">
        <v>92051258.319999933</v>
      </c>
      <c r="E47" s="13">
        <v>41094610.109999999</v>
      </c>
      <c r="F47" s="13">
        <v>45492764</v>
      </c>
      <c r="G47" s="14">
        <v>2.02</v>
      </c>
      <c r="H47" s="14">
        <v>0.9</v>
      </c>
      <c r="I47" s="13">
        <v>3424550.8424999998</v>
      </c>
      <c r="J47" s="15">
        <v>1</v>
      </c>
      <c r="K47" s="13">
        <v>88626707.477499932</v>
      </c>
      <c r="L47" s="13" t="s">
        <v>192</v>
      </c>
      <c r="M47" s="13" t="s">
        <v>192</v>
      </c>
      <c r="N47" s="197">
        <v>43647</v>
      </c>
      <c r="O47" s="16">
        <v>45474</v>
      </c>
      <c r="P47" s="13">
        <v>2591967.81</v>
      </c>
      <c r="Q47" s="242" t="e">
        <v>#VALUE!</v>
      </c>
    </row>
    <row r="48" spans="1:17" x14ac:dyDescent="0.2">
      <c r="A48" s="4" t="s">
        <v>17</v>
      </c>
      <c r="B48" s="13">
        <v>389160034</v>
      </c>
      <c r="C48" s="13">
        <v>369986327.20999998</v>
      </c>
      <c r="D48" s="13">
        <v>19173706.790000021</v>
      </c>
      <c r="E48" s="13">
        <v>10458625.130000001</v>
      </c>
      <c r="F48" s="13">
        <v>10126728</v>
      </c>
      <c r="G48" s="14">
        <v>1.89</v>
      </c>
      <c r="H48" s="14">
        <v>1.03</v>
      </c>
      <c r="I48" s="13">
        <v>871552.09416666673</v>
      </c>
      <c r="J48" s="15">
        <v>1</v>
      </c>
      <c r="K48" s="13">
        <v>18302154.695833355</v>
      </c>
      <c r="L48" s="13" t="s">
        <v>192</v>
      </c>
      <c r="M48" s="13" t="s">
        <v>192</v>
      </c>
      <c r="N48" s="197">
        <v>43647</v>
      </c>
      <c r="O48" s="16">
        <v>45474</v>
      </c>
      <c r="P48" s="13">
        <v>666106.44999999995</v>
      </c>
      <c r="Q48" s="242" t="e">
        <v>#VALUE!</v>
      </c>
    </row>
    <row r="49" spans="1:17" x14ac:dyDescent="0.2">
      <c r="A49" s="4" t="s">
        <v>63</v>
      </c>
      <c r="B49" s="13">
        <v>1082941284</v>
      </c>
      <c r="C49" s="13">
        <v>1031932267.6</v>
      </c>
      <c r="D49" s="13">
        <v>51009016.399999976</v>
      </c>
      <c r="E49" s="13">
        <v>25924294.219999999</v>
      </c>
      <c r="F49" s="13">
        <v>27168342</v>
      </c>
      <c r="G49" s="14">
        <v>1.88</v>
      </c>
      <c r="H49" s="14">
        <v>0.95</v>
      </c>
      <c r="I49" s="13">
        <v>2160357.8516666666</v>
      </c>
      <c r="J49" s="15">
        <v>0</v>
      </c>
      <c r="K49" s="13">
        <v>51009016.399999976</v>
      </c>
      <c r="L49" s="13" t="s">
        <v>192</v>
      </c>
      <c r="M49" s="13" t="s">
        <v>192</v>
      </c>
      <c r="N49" s="197">
        <v>43922</v>
      </c>
      <c r="O49" s="16">
        <v>45383</v>
      </c>
      <c r="P49" s="13">
        <v>49690.98</v>
      </c>
      <c r="Q49" s="242" t="e">
        <v>#VALUE!</v>
      </c>
    </row>
    <row r="50" spans="1:17" x14ac:dyDescent="0.2">
      <c r="A50" s="4" t="s">
        <v>32</v>
      </c>
      <c r="B50" s="13">
        <v>497245980</v>
      </c>
      <c r="C50" s="13">
        <v>475194342.02999997</v>
      </c>
      <c r="D50" s="13">
        <v>22051637.970000029</v>
      </c>
      <c r="E50" s="13">
        <v>11553955.050000001</v>
      </c>
      <c r="F50" s="13">
        <v>11808636</v>
      </c>
      <c r="G50" s="14">
        <v>1.87</v>
      </c>
      <c r="H50" s="14">
        <v>0.98</v>
      </c>
      <c r="I50" s="13">
        <v>962829.58750000002</v>
      </c>
      <c r="J50" s="15">
        <v>7</v>
      </c>
      <c r="K50" s="13">
        <v>15311830.857500028</v>
      </c>
      <c r="L50" s="13" t="s">
        <v>192</v>
      </c>
      <c r="M50" s="13" t="s">
        <v>192</v>
      </c>
      <c r="N50" s="197">
        <v>43831</v>
      </c>
      <c r="O50" s="16">
        <v>45658</v>
      </c>
      <c r="P50" s="13">
        <v>813318.52</v>
      </c>
      <c r="Q50" s="242" t="e">
        <v>#VALUE!</v>
      </c>
    </row>
    <row r="51" spans="1:17" x14ac:dyDescent="0.2">
      <c r="A51" s="4" t="s">
        <v>58</v>
      </c>
      <c r="B51" s="13">
        <v>238203233</v>
      </c>
      <c r="C51" s="13">
        <v>229569356.69999999</v>
      </c>
      <c r="D51" s="13">
        <v>8633876.3000000119</v>
      </c>
      <c r="E51" s="13">
        <v>5541774.5700000003</v>
      </c>
      <c r="F51" s="13">
        <v>5501208</v>
      </c>
      <c r="G51" s="14">
        <v>1.57</v>
      </c>
      <c r="H51" s="14">
        <v>1.01</v>
      </c>
      <c r="I51" s="13">
        <v>461814.54750000004</v>
      </c>
      <c r="J51" s="15">
        <v>1</v>
      </c>
      <c r="K51" s="13">
        <v>8172061.7525000116</v>
      </c>
      <c r="L51" s="13" t="s">
        <v>192</v>
      </c>
      <c r="M51" s="13" t="s">
        <v>192</v>
      </c>
      <c r="N51" s="197">
        <v>43647</v>
      </c>
      <c r="O51" s="16">
        <v>45474</v>
      </c>
      <c r="P51" s="13">
        <v>311727.28999999998</v>
      </c>
      <c r="Q51" s="242" t="e">
        <v>#VALUE!</v>
      </c>
    </row>
    <row r="52" spans="1:17" x14ac:dyDescent="0.2">
      <c r="A52" s="4" t="s">
        <v>22</v>
      </c>
      <c r="B52" s="13">
        <v>75470621</v>
      </c>
      <c r="C52" s="13">
        <v>71849493.099999994</v>
      </c>
      <c r="D52" s="18">
        <v>3621127.900000006</v>
      </c>
      <c r="E52" s="13">
        <v>1878111.63</v>
      </c>
      <c r="F52" s="13">
        <v>2752623</v>
      </c>
      <c r="G52" s="14">
        <v>1.32</v>
      </c>
      <c r="H52" s="14">
        <v>0.68</v>
      </c>
      <c r="I52" s="18">
        <v>156509.30249999999</v>
      </c>
      <c r="J52" s="15">
        <v>1</v>
      </c>
      <c r="K52" s="18">
        <v>3464618.5975000057</v>
      </c>
      <c r="L52" s="18" t="s">
        <v>192</v>
      </c>
      <c r="M52" s="18" t="s">
        <v>192</v>
      </c>
      <c r="N52" s="198">
        <v>43647</v>
      </c>
      <c r="O52" s="16">
        <v>45474</v>
      </c>
      <c r="P52" s="13">
        <v>29789.1</v>
      </c>
      <c r="Q52" s="242" t="e">
        <v>#VALUE!</v>
      </c>
    </row>
    <row r="53" spans="1:17" x14ac:dyDescent="0.25">
      <c r="A53" s="36" t="s">
        <v>65</v>
      </c>
      <c r="B53" s="33">
        <v>43056918036.709999</v>
      </c>
      <c r="C53" s="13">
        <v>39824806689.540001</v>
      </c>
      <c r="D53" s="33">
        <v>3232111347.1699982</v>
      </c>
      <c r="E53" s="13">
        <v>938172158.84000003</v>
      </c>
      <c r="F53" s="13">
        <v>981907757</v>
      </c>
      <c r="G53" s="14">
        <v>3.29</v>
      </c>
      <c r="H53" s="14">
        <v>0.96</v>
      </c>
      <c r="I53" s="33">
        <v>78181013.236666664</v>
      </c>
      <c r="J53" s="34"/>
      <c r="K53" s="35"/>
      <c r="L53" s="35"/>
      <c r="M53" s="35"/>
      <c r="N53" s="35"/>
      <c r="O53" s="35"/>
      <c r="P53" s="33">
        <v>64151160.559999987</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36</v>
      </c>
      <c r="H56" s="25"/>
    </row>
    <row r="57" spans="1:17" ht="27" customHeight="1" thickBot="1" x14ac:dyDescent="0.3">
      <c r="D57" s="248" t="s">
        <v>67</v>
      </c>
      <c r="E57" s="249"/>
      <c r="F57" s="249"/>
      <c r="G57" s="27"/>
      <c r="H57" s="28">
        <v>29</v>
      </c>
    </row>
  </sheetData>
  <mergeCells count="2">
    <mergeCell ref="D56:F56"/>
    <mergeCell ref="D57:F57"/>
  </mergeCells>
  <conditionalFormatting sqref="G54">
    <cfRule type="cellIs" dxfId="349" priority="13" stopIfTrue="1" operator="greaterThan">
      <formula>2.5</formula>
    </cfRule>
    <cfRule type="cellIs" dxfId="348" priority="14" stopIfTrue="1" operator="between">
      <formula>2.01</formula>
      <formula>2.5</formula>
    </cfRule>
  </conditionalFormatting>
  <conditionalFormatting sqref="H3:H53">
    <cfRule type="cellIs" dxfId="347" priority="12" stopIfTrue="1" operator="lessThan">
      <formula>1</formula>
    </cfRule>
  </conditionalFormatting>
  <conditionalFormatting sqref="G3:G53">
    <cfRule type="cellIs" dxfId="346" priority="10" stopIfTrue="1" operator="greaterThan">
      <formula>2.5</formula>
    </cfRule>
    <cfRule type="cellIs" dxfId="345" priority="11" stopIfTrue="1" operator="between">
      <formula>2.01</formula>
      <formula>2.5</formula>
    </cfRule>
  </conditionalFormatting>
  <conditionalFormatting sqref="K3:K52">
    <cfRule type="cellIs" dxfId="344" priority="8" stopIfTrue="1" operator="greaterThan">
      <formula>$F3*2.5</formula>
    </cfRule>
    <cfRule type="cellIs" dxfId="343" priority="9" stopIfTrue="1" operator="between">
      <formula>$F3*2</formula>
      <formula>$F3*2.5</formula>
    </cfRule>
  </conditionalFormatting>
  <conditionalFormatting sqref="G54">
    <cfRule type="cellIs" dxfId="342" priority="6" stopIfTrue="1" operator="greaterThan">
      <formula>2.5</formula>
    </cfRule>
    <cfRule type="cellIs" dxfId="341" priority="7" stopIfTrue="1" operator="between">
      <formula>2.01</formula>
      <formula>2.5</formula>
    </cfRule>
  </conditionalFormatting>
  <conditionalFormatting sqref="H3:H53">
    <cfRule type="cellIs" dxfId="340" priority="5" stopIfTrue="1" operator="lessThan">
      <formula>1</formula>
    </cfRule>
  </conditionalFormatting>
  <conditionalFormatting sqref="G3:G53">
    <cfRule type="cellIs" dxfId="339" priority="3" stopIfTrue="1" operator="greaterThan">
      <formula>2.5</formula>
    </cfRule>
    <cfRule type="cellIs" dxfId="338" priority="4" stopIfTrue="1" operator="between">
      <formula>2.01</formula>
      <formula>2.5</formula>
    </cfRule>
  </conditionalFormatting>
  <conditionalFormatting sqref="K3:K52">
    <cfRule type="cellIs" dxfId="337" priority="1" stopIfTrue="1" operator="greaterThan">
      <formula>$F3*2.5</formula>
    </cfRule>
    <cfRule type="cellIs" dxfId="336"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3533F-0F96-4644-97A2-8EDEF6C5E90D}">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273</v>
      </c>
      <c r="B1" s="196" t="s">
        <v>274</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1139975937.45</v>
      </c>
      <c r="C3" s="13">
        <v>985330771.10000002</v>
      </c>
      <c r="D3" s="13">
        <v>154645166.35000002</v>
      </c>
      <c r="E3" s="13">
        <v>12555135.66</v>
      </c>
      <c r="F3" s="13">
        <v>24778539</v>
      </c>
      <c r="G3" s="14">
        <v>6.24</v>
      </c>
      <c r="H3" s="14">
        <v>0.51</v>
      </c>
      <c r="I3" s="13">
        <v>1046261.3050000001</v>
      </c>
      <c r="J3" s="15">
        <v>1</v>
      </c>
      <c r="K3" s="13">
        <v>153598905.04500002</v>
      </c>
      <c r="L3" s="13">
        <v>105088088.35000002</v>
      </c>
      <c r="M3" s="13">
        <v>92698818.850000024</v>
      </c>
      <c r="N3" s="197">
        <v>43647</v>
      </c>
      <c r="O3" s="16">
        <v>45474</v>
      </c>
      <c r="P3" s="13">
        <v>252507.44</v>
      </c>
      <c r="Q3" s="243" t="e">
        <v>#VALUE!</v>
      </c>
    </row>
    <row r="4" spans="1:17" x14ac:dyDescent="0.2">
      <c r="A4" s="4" t="s">
        <v>62</v>
      </c>
      <c r="B4" s="13">
        <v>708696383.32000005</v>
      </c>
      <c r="C4" s="13">
        <v>635002282.17999995</v>
      </c>
      <c r="D4" s="13">
        <v>73694101.140000105</v>
      </c>
      <c r="E4" s="13">
        <v>13361474.449999999</v>
      </c>
      <c r="F4" s="13">
        <v>13833071</v>
      </c>
      <c r="G4" s="14">
        <v>5.33</v>
      </c>
      <c r="H4" s="14">
        <v>0.97</v>
      </c>
      <c r="I4" s="13">
        <v>1113456.2041666666</v>
      </c>
      <c r="J4" s="15">
        <v>1</v>
      </c>
      <c r="K4" s="13">
        <v>72580644.935833439</v>
      </c>
      <c r="L4" s="13">
        <v>46027959.140000105</v>
      </c>
      <c r="M4" s="13">
        <v>39111423.640000105</v>
      </c>
      <c r="N4" s="197">
        <v>43647</v>
      </c>
      <c r="O4" s="16">
        <v>45474</v>
      </c>
      <c r="P4" s="13">
        <v>2192502.15</v>
      </c>
      <c r="Q4" s="242" t="e">
        <v>#VALUE!</v>
      </c>
    </row>
    <row r="5" spans="1:17" x14ac:dyDescent="0.2">
      <c r="A5" s="4" t="s">
        <v>46</v>
      </c>
      <c r="B5" s="13">
        <v>1788595890.3599999</v>
      </c>
      <c r="C5" s="13">
        <v>1542312922.28</v>
      </c>
      <c r="D5" s="13">
        <v>246282968.07999992</v>
      </c>
      <c r="E5" s="13">
        <v>39641687.979999997</v>
      </c>
      <c r="F5" s="13">
        <v>46272979</v>
      </c>
      <c r="G5" s="14">
        <v>5.32</v>
      </c>
      <c r="H5" s="14">
        <v>0.86</v>
      </c>
      <c r="I5" s="13">
        <v>3303473.9983333331</v>
      </c>
      <c r="J5" s="15">
        <v>7</v>
      </c>
      <c r="K5" s="13">
        <v>223158650.09166658</v>
      </c>
      <c r="L5" s="13">
        <v>21962430.011428561</v>
      </c>
      <c r="M5" s="13">
        <v>18657217.225714274</v>
      </c>
      <c r="N5" s="197">
        <v>43831</v>
      </c>
      <c r="O5" s="16">
        <v>45658</v>
      </c>
      <c r="P5" s="13">
        <v>6204178.1299999999</v>
      </c>
      <c r="Q5" s="242" t="e">
        <v>#VALUE!</v>
      </c>
    </row>
    <row r="6" spans="1:17" x14ac:dyDescent="0.2">
      <c r="A6" s="4" t="s">
        <v>35</v>
      </c>
      <c r="B6" s="13">
        <v>1469242870.97</v>
      </c>
      <c r="C6" s="13">
        <v>1295937448.8</v>
      </c>
      <c r="D6" s="13">
        <v>173305422.17000008</v>
      </c>
      <c r="E6" s="13">
        <v>18515624.079999998</v>
      </c>
      <c r="F6" s="13">
        <v>33073641</v>
      </c>
      <c r="G6" s="14">
        <v>5.24</v>
      </c>
      <c r="H6" s="14">
        <v>0.56000000000000005</v>
      </c>
      <c r="I6" s="13">
        <v>1542968.6733333331</v>
      </c>
      <c r="J6" s="15">
        <v>1</v>
      </c>
      <c r="K6" s="13">
        <v>171762453.49666673</v>
      </c>
      <c r="L6" s="13">
        <v>107158140.17000008</v>
      </c>
      <c r="M6" s="13">
        <v>90621319.670000076</v>
      </c>
      <c r="N6" s="197">
        <v>43647</v>
      </c>
      <c r="O6" s="16">
        <v>45474</v>
      </c>
      <c r="P6" s="13">
        <v>397770.83</v>
      </c>
      <c r="Q6" s="242" t="e">
        <v>#VALUE!</v>
      </c>
    </row>
    <row r="7" spans="1:17" x14ac:dyDescent="0.2">
      <c r="A7" s="4" t="s">
        <v>26</v>
      </c>
      <c r="B7" s="13">
        <v>1336273473.74</v>
      </c>
      <c r="C7" s="13">
        <v>1189683993.0899999</v>
      </c>
      <c r="D7" s="13">
        <v>146589480.6500001</v>
      </c>
      <c r="E7" s="13">
        <v>18425249.149999999</v>
      </c>
      <c r="F7" s="13">
        <v>29074134</v>
      </c>
      <c r="G7" s="14">
        <v>5.04</v>
      </c>
      <c r="H7" s="14">
        <v>0.63</v>
      </c>
      <c r="I7" s="13">
        <v>1535437.4291666665</v>
      </c>
      <c r="J7" s="15">
        <v>7</v>
      </c>
      <c r="K7" s="13">
        <v>135841418.64583343</v>
      </c>
      <c r="L7" s="13">
        <v>12634458.950000014</v>
      </c>
      <c r="M7" s="13">
        <v>10557735.092857156</v>
      </c>
      <c r="N7" s="197">
        <v>43831</v>
      </c>
      <c r="O7" s="16">
        <v>45658</v>
      </c>
      <c r="P7" s="13">
        <v>974918.89</v>
      </c>
      <c r="Q7" s="242" t="e">
        <v>#VALUE!</v>
      </c>
    </row>
    <row r="8" spans="1:17" x14ac:dyDescent="0.2">
      <c r="A8" s="4" t="s">
        <v>64</v>
      </c>
      <c r="B8" s="13">
        <v>120899760.39</v>
      </c>
      <c r="C8" s="13">
        <v>104445062.28</v>
      </c>
      <c r="D8" s="13">
        <v>16454698.109999999</v>
      </c>
      <c r="E8" s="13">
        <v>1773705.59</v>
      </c>
      <c r="F8" s="13">
        <v>3521015</v>
      </c>
      <c r="G8" s="14">
        <v>4.67</v>
      </c>
      <c r="H8" s="14">
        <v>0.5</v>
      </c>
      <c r="I8" s="13">
        <v>147808.79916666666</v>
      </c>
      <c r="J8" s="15">
        <v>7</v>
      </c>
      <c r="K8" s="13">
        <v>15420036.515833333</v>
      </c>
      <c r="L8" s="13">
        <v>1344666.8728571427</v>
      </c>
      <c r="M8" s="13">
        <v>1093165.8014285713</v>
      </c>
      <c r="N8" s="197">
        <v>43831</v>
      </c>
      <c r="O8" s="16">
        <v>45658</v>
      </c>
      <c r="P8" s="13">
        <v>24831.85</v>
      </c>
      <c r="Q8" s="242" t="e">
        <v>#VALUE!</v>
      </c>
    </row>
    <row r="9" spans="1:17" x14ac:dyDescent="0.2">
      <c r="A9" s="4" t="s">
        <v>44</v>
      </c>
      <c r="B9" s="13">
        <v>493558716</v>
      </c>
      <c r="C9" s="13">
        <v>447115117.83999997</v>
      </c>
      <c r="D9" s="13">
        <v>46443598.160000026</v>
      </c>
      <c r="E9" s="13">
        <v>8332854.1900000004</v>
      </c>
      <c r="F9" s="13">
        <v>11038481</v>
      </c>
      <c r="G9" s="14">
        <v>4.21</v>
      </c>
      <c r="H9" s="14">
        <v>0.75</v>
      </c>
      <c r="I9" s="13">
        <v>694404.51583333337</v>
      </c>
      <c r="J9" s="15">
        <v>7</v>
      </c>
      <c r="K9" s="13">
        <v>41582766.549166694</v>
      </c>
      <c r="L9" s="13">
        <v>3480948.0228571468</v>
      </c>
      <c r="M9" s="13">
        <v>2692485.0942857182</v>
      </c>
      <c r="N9" s="197">
        <v>43831</v>
      </c>
      <c r="O9" s="16">
        <v>45658</v>
      </c>
      <c r="P9" s="13">
        <v>1377314.19</v>
      </c>
      <c r="Q9" s="242" t="e">
        <v>#VALUE!</v>
      </c>
    </row>
    <row r="10" spans="1:17" x14ac:dyDescent="0.2">
      <c r="A10" s="4" t="s">
        <v>53</v>
      </c>
      <c r="B10" s="13">
        <v>203184695.25999999</v>
      </c>
      <c r="C10" s="13">
        <v>179764529.81999999</v>
      </c>
      <c r="D10" s="13">
        <v>23420165.439999998</v>
      </c>
      <c r="E10" s="13">
        <v>5843312.4900000002</v>
      </c>
      <c r="F10" s="13">
        <v>5655134</v>
      </c>
      <c r="G10" s="14">
        <v>4.1399999999999997</v>
      </c>
      <c r="H10" s="14">
        <v>1.03</v>
      </c>
      <c r="I10" s="13">
        <v>486942.70750000002</v>
      </c>
      <c r="J10" s="15">
        <v>1</v>
      </c>
      <c r="K10" s="13">
        <v>22933222.732499998</v>
      </c>
      <c r="L10" s="13">
        <v>12109897.439999998</v>
      </c>
      <c r="M10" s="13">
        <v>9282330.4399999976</v>
      </c>
      <c r="N10" s="197">
        <v>43647</v>
      </c>
      <c r="O10" s="16">
        <v>45474</v>
      </c>
      <c r="P10" s="13">
        <v>109269.6</v>
      </c>
      <c r="Q10" s="242" t="e">
        <v>#VALUE!</v>
      </c>
    </row>
    <row r="11" spans="1:17" x14ac:dyDescent="0.2">
      <c r="A11" s="4" t="s">
        <v>39</v>
      </c>
      <c r="B11" s="13">
        <v>265120500</v>
      </c>
      <c r="C11" s="13">
        <v>239771345.74000001</v>
      </c>
      <c r="D11" s="13">
        <v>25349154.25999999</v>
      </c>
      <c r="E11" s="13">
        <v>8536086.4299999997</v>
      </c>
      <c r="F11" s="13">
        <v>6172506</v>
      </c>
      <c r="G11" s="14">
        <v>4.1100000000000003</v>
      </c>
      <c r="H11" s="14">
        <v>1.38</v>
      </c>
      <c r="I11" s="13">
        <v>711340.53583333327</v>
      </c>
      <c r="J11" s="15">
        <v>0</v>
      </c>
      <c r="K11" s="13">
        <v>25349154.25999999</v>
      </c>
      <c r="L11" s="13" t="s">
        <v>193</v>
      </c>
      <c r="M11" s="13" t="s">
        <v>193</v>
      </c>
      <c r="N11" s="197">
        <v>43922</v>
      </c>
      <c r="O11" s="16">
        <v>45383</v>
      </c>
      <c r="P11" s="13">
        <v>305055.44</v>
      </c>
      <c r="Q11" s="242" t="e">
        <v>#VALUE!</v>
      </c>
    </row>
    <row r="12" spans="1:17" x14ac:dyDescent="0.2">
      <c r="A12" s="4" t="s">
        <v>36</v>
      </c>
      <c r="B12" s="13">
        <v>853256279</v>
      </c>
      <c r="C12" s="13">
        <v>775958768.50999999</v>
      </c>
      <c r="D12" s="13">
        <v>77297510.49000001</v>
      </c>
      <c r="E12" s="13">
        <v>18506978.829999998</v>
      </c>
      <c r="F12" s="13">
        <v>18836467</v>
      </c>
      <c r="G12" s="14">
        <v>4.0999999999999996</v>
      </c>
      <c r="H12" s="14">
        <v>0.98</v>
      </c>
      <c r="I12" s="13">
        <v>1542248.2358333331</v>
      </c>
      <c r="J12" s="15">
        <v>4</v>
      </c>
      <c r="K12" s="13">
        <v>71128517.546666682</v>
      </c>
      <c r="L12" s="13">
        <v>9906144.1225000024</v>
      </c>
      <c r="M12" s="13">
        <v>7551585.7475000024</v>
      </c>
      <c r="N12" s="197">
        <v>43739</v>
      </c>
      <c r="O12" s="16">
        <v>45566</v>
      </c>
      <c r="P12" s="13">
        <v>1198287.8799999999</v>
      </c>
      <c r="Q12" s="242" t="e">
        <v>#VALUE!</v>
      </c>
    </row>
    <row r="13" spans="1:17" x14ac:dyDescent="0.2">
      <c r="A13" s="4" t="s">
        <v>52</v>
      </c>
      <c r="B13" s="13">
        <v>1945106991</v>
      </c>
      <c r="C13" s="13">
        <v>1854699030.27</v>
      </c>
      <c r="D13" s="13">
        <v>90407960.730000019</v>
      </c>
      <c r="E13" s="13">
        <v>20461044.809999999</v>
      </c>
      <c r="F13" s="13">
        <v>22131554</v>
      </c>
      <c r="G13" s="14">
        <v>4.09</v>
      </c>
      <c r="H13" s="14">
        <v>0.92</v>
      </c>
      <c r="I13" s="13">
        <v>1705087.0674999999</v>
      </c>
      <c r="J13" s="15">
        <v>1</v>
      </c>
      <c r="K13" s="13">
        <v>88702873.662500024</v>
      </c>
      <c r="L13" s="13">
        <v>46144852.730000019</v>
      </c>
      <c r="M13" s="13">
        <v>35079075.730000019</v>
      </c>
      <c r="N13" s="197">
        <v>43647</v>
      </c>
      <c r="O13" s="16">
        <v>45474</v>
      </c>
      <c r="P13" s="13">
        <v>1126476.48</v>
      </c>
      <c r="Q13" s="242" t="e">
        <v>#VALUE!</v>
      </c>
    </row>
    <row r="14" spans="1:17" x14ac:dyDescent="0.2">
      <c r="A14" s="4" t="s">
        <v>47</v>
      </c>
      <c r="B14" s="13">
        <v>187480557</v>
      </c>
      <c r="C14" s="13">
        <v>173244238.41</v>
      </c>
      <c r="D14" s="13">
        <v>14236318.590000004</v>
      </c>
      <c r="E14" s="13">
        <v>2906394.26</v>
      </c>
      <c r="F14" s="13">
        <v>3515583</v>
      </c>
      <c r="G14" s="14">
        <v>4.05</v>
      </c>
      <c r="H14" s="14">
        <v>0.83</v>
      </c>
      <c r="I14" s="13">
        <v>242199.52166666664</v>
      </c>
      <c r="J14" s="15">
        <v>1</v>
      </c>
      <c r="K14" s="13">
        <v>13994119.068333337</v>
      </c>
      <c r="L14" s="13">
        <v>7205152.5900000036</v>
      </c>
      <c r="M14" s="13">
        <v>5447361.0900000036</v>
      </c>
      <c r="N14" s="197">
        <v>43647</v>
      </c>
      <c r="O14" s="16">
        <v>45474</v>
      </c>
      <c r="P14" s="13">
        <v>0</v>
      </c>
      <c r="Q14" s="242" t="e">
        <v>#VALUE!</v>
      </c>
    </row>
    <row r="15" spans="1:17" x14ac:dyDescent="0.2">
      <c r="A15" s="4" t="s">
        <v>30</v>
      </c>
      <c r="B15" s="13">
        <v>1168142277.4400001</v>
      </c>
      <c r="C15" s="13">
        <v>1063925749.79</v>
      </c>
      <c r="D15" s="13">
        <v>104216527.6500001</v>
      </c>
      <c r="E15" s="13">
        <v>20303999.800000001</v>
      </c>
      <c r="F15" s="13">
        <v>26355588</v>
      </c>
      <c r="G15" s="14">
        <v>3.95</v>
      </c>
      <c r="H15" s="14">
        <v>0.77</v>
      </c>
      <c r="I15" s="13">
        <v>1691999.9833333334</v>
      </c>
      <c r="J15" s="15">
        <v>1</v>
      </c>
      <c r="K15" s="13">
        <v>102524527.66666676</v>
      </c>
      <c r="L15" s="13">
        <v>51505351.650000095</v>
      </c>
      <c r="M15" s="13">
        <v>38327557.650000095</v>
      </c>
      <c r="N15" s="197">
        <v>43647</v>
      </c>
      <c r="O15" s="16">
        <v>45474</v>
      </c>
      <c r="P15" s="13">
        <v>1725758</v>
      </c>
      <c r="Q15" s="242" t="e">
        <v>#VALUE!</v>
      </c>
    </row>
    <row r="16" spans="1:17" x14ac:dyDescent="0.2">
      <c r="A16" s="4" t="s">
        <v>19</v>
      </c>
      <c r="B16" s="13">
        <v>1438428739.9100001</v>
      </c>
      <c r="C16" s="13">
        <v>1323388523.03</v>
      </c>
      <c r="D16" s="13">
        <v>115040216.88000011</v>
      </c>
      <c r="E16" s="13">
        <v>27650808.359999999</v>
      </c>
      <c r="F16" s="13">
        <v>30065955</v>
      </c>
      <c r="G16" s="14">
        <v>3.83</v>
      </c>
      <c r="H16" s="14">
        <v>0.92</v>
      </c>
      <c r="I16" s="13">
        <v>2304234.0299999998</v>
      </c>
      <c r="J16" s="15">
        <v>1</v>
      </c>
      <c r="K16" s="13">
        <v>112735982.85000011</v>
      </c>
      <c r="L16" s="13">
        <v>54908306.880000114</v>
      </c>
      <c r="M16" s="13">
        <v>39875329.380000114</v>
      </c>
      <c r="N16" s="197">
        <v>43647</v>
      </c>
      <c r="O16" s="16">
        <v>45474</v>
      </c>
      <c r="P16" s="13">
        <v>4385749.99</v>
      </c>
      <c r="Q16" s="242" t="e">
        <v>#VALUE!</v>
      </c>
    </row>
    <row r="17" spans="1:17" x14ac:dyDescent="0.2">
      <c r="A17" s="4" t="s">
        <v>18</v>
      </c>
      <c r="B17" s="13">
        <v>800464324.92999995</v>
      </c>
      <c r="C17" s="13">
        <v>734038679.71000004</v>
      </c>
      <c r="D17" s="13">
        <v>66425645.219999909</v>
      </c>
      <c r="E17" s="13">
        <v>20458275.91</v>
      </c>
      <c r="F17" s="13">
        <v>17480755</v>
      </c>
      <c r="G17" s="14">
        <v>3.8</v>
      </c>
      <c r="H17" s="14">
        <v>1.17</v>
      </c>
      <c r="I17" s="13">
        <v>1704856.3258333334</v>
      </c>
      <c r="J17" s="15">
        <v>1</v>
      </c>
      <c r="K17" s="13">
        <v>64720788.894166574</v>
      </c>
      <c r="L17" s="13">
        <v>31464135.219999909</v>
      </c>
      <c r="M17" s="13">
        <v>22723757.719999909</v>
      </c>
      <c r="N17" s="197">
        <v>43647</v>
      </c>
      <c r="O17" s="16">
        <v>45474</v>
      </c>
      <c r="P17" s="13">
        <v>2042166.87</v>
      </c>
      <c r="Q17" s="242" t="e">
        <v>#VALUE!</v>
      </c>
    </row>
    <row r="18" spans="1:17" x14ac:dyDescent="0.2">
      <c r="A18" s="4" t="s">
        <v>60</v>
      </c>
      <c r="B18" s="13">
        <v>794219275</v>
      </c>
      <c r="C18" s="13">
        <v>721598739.29999995</v>
      </c>
      <c r="D18" s="13">
        <v>72620535.700000048</v>
      </c>
      <c r="E18" s="13">
        <v>14583635</v>
      </c>
      <c r="F18" s="13">
        <v>19107637</v>
      </c>
      <c r="G18" s="14">
        <v>3.8</v>
      </c>
      <c r="H18" s="14">
        <v>0.76</v>
      </c>
      <c r="I18" s="13">
        <v>1215302.9166666667</v>
      </c>
      <c r="J18" s="15">
        <v>1</v>
      </c>
      <c r="K18" s="13">
        <v>71405232.783333376</v>
      </c>
      <c r="L18" s="13">
        <v>34405261.700000048</v>
      </c>
      <c r="M18" s="13">
        <v>24851443.200000048</v>
      </c>
      <c r="N18" s="197">
        <v>43647</v>
      </c>
      <c r="O18" s="16">
        <v>45474</v>
      </c>
      <c r="P18" s="13">
        <v>1566920.73</v>
      </c>
      <c r="Q18" s="242" t="e">
        <v>#VALUE!</v>
      </c>
    </row>
    <row r="19" spans="1:17" x14ac:dyDescent="0.2">
      <c r="A19" s="4" t="s">
        <v>40</v>
      </c>
      <c r="B19" s="13">
        <v>500565228.91000003</v>
      </c>
      <c r="C19" s="13">
        <v>461131591.19999999</v>
      </c>
      <c r="D19" s="13">
        <v>39433637.710000038</v>
      </c>
      <c r="E19" s="13">
        <v>5991238.25</v>
      </c>
      <c r="F19" s="13">
        <v>10539100</v>
      </c>
      <c r="G19" s="14">
        <v>3.74</v>
      </c>
      <c r="H19" s="14">
        <v>0.56999999999999995</v>
      </c>
      <c r="I19" s="13">
        <v>499269.85416666669</v>
      </c>
      <c r="J19" s="15">
        <v>1</v>
      </c>
      <c r="K19" s="13">
        <v>38934367.855833374</v>
      </c>
      <c r="L19" s="13">
        <v>18355437.710000038</v>
      </c>
      <c r="M19" s="13">
        <v>13085887.710000038</v>
      </c>
      <c r="N19" s="197">
        <v>43647</v>
      </c>
      <c r="O19" s="16">
        <v>45474</v>
      </c>
      <c r="P19" s="13">
        <v>245390.23</v>
      </c>
      <c r="Q19" s="242" t="e">
        <v>#VALUE!</v>
      </c>
    </row>
    <row r="20" spans="1:17" x14ac:dyDescent="0.2">
      <c r="A20" s="4" t="s">
        <v>54</v>
      </c>
      <c r="B20" s="13">
        <v>1022430792.45</v>
      </c>
      <c r="C20" s="13">
        <v>949724829.03999996</v>
      </c>
      <c r="D20" s="13">
        <v>72705963.410000086</v>
      </c>
      <c r="E20" s="13">
        <v>25123646.18</v>
      </c>
      <c r="F20" s="13">
        <v>19809810</v>
      </c>
      <c r="G20" s="14">
        <v>3.67</v>
      </c>
      <c r="H20" s="14">
        <v>1.27</v>
      </c>
      <c r="I20" s="13">
        <v>2093637.1816666666</v>
      </c>
      <c r="J20" s="15">
        <v>0</v>
      </c>
      <c r="K20" s="13">
        <v>72705963.410000086</v>
      </c>
      <c r="L20" s="13" t="s">
        <v>193</v>
      </c>
      <c r="M20" s="13" t="s">
        <v>193</v>
      </c>
      <c r="N20" s="197">
        <v>43922</v>
      </c>
      <c r="O20" s="16">
        <v>45383</v>
      </c>
      <c r="P20" s="13">
        <v>2241502</v>
      </c>
      <c r="Q20" s="242" t="e">
        <v>#VALUE!</v>
      </c>
    </row>
    <row r="21" spans="1:17" x14ac:dyDescent="0.2">
      <c r="A21" s="4" t="s">
        <v>16</v>
      </c>
      <c r="B21" s="13">
        <v>104394118</v>
      </c>
      <c r="C21" s="13">
        <v>95319723.849999994</v>
      </c>
      <c r="D21" s="13">
        <v>9074394.150000006</v>
      </c>
      <c r="E21" s="13">
        <v>1606592.24</v>
      </c>
      <c r="F21" s="13">
        <v>2677355</v>
      </c>
      <c r="G21" s="14">
        <v>3.39</v>
      </c>
      <c r="H21" s="14">
        <v>0.6</v>
      </c>
      <c r="I21" s="13">
        <v>133882.68666666668</v>
      </c>
      <c r="J21" s="15">
        <v>1</v>
      </c>
      <c r="K21" s="13">
        <v>8940511.4633333385</v>
      </c>
      <c r="L21" s="13">
        <v>3719684.150000006</v>
      </c>
      <c r="M21" s="13">
        <v>2381006.650000006</v>
      </c>
      <c r="N21" s="197">
        <v>43647</v>
      </c>
      <c r="O21" s="16">
        <v>45474</v>
      </c>
      <c r="P21" s="13">
        <v>101456.26</v>
      </c>
      <c r="Q21" s="242" t="e">
        <v>#VALUE!</v>
      </c>
    </row>
    <row r="22" spans="1:17" x14ac:dyDescent="0.2">
      <c r="A22" s="4" t="s">
        <v>43</v>
      </c>
      <c r="B22" s="13">
        <v>300551063.33999997</v>
      </c>
      <c r="C22" s="13">
        <v>277705099.94999999</v>
      </c>
      <c r="D22" s="13">
        <v>22845963.389999986</v>
      </c>
      <c r="E22" s="13">
        <v>10797107.699999999</v>
      </c>
      <c r="F22" s="13">
        <v>6730317</v>
      </c>
      <c r="G22" s="14">
        <v>3.39</v>
      </c>
      <c r="H22" s="14">
        <v>1.6</v>
      </c>
      <c r="I22" s="13">
        <v>899758.97499999998</v>
      </c>
      <c r="J22" s="15">
        <v>1</v>
      </c>
      <c r="K22" s="13">
        <v>21946204.414999984</v>
      </c>
      <c r="L22" s="13">
        <v>9385329.3899999857</v>
      </c>
      <c r="M22" s="13">
        <v>6020170.8899999857</v>
      </c>
      <c r="N22" s="197">
        <v>43647</v>
      </c>
      <c r="O22" s="16">
        <v>45474</v>
      </c>
      <c r="P22" s="13">
        <v>1554084.61</v>
      </c>
      <c r="Q22" s="242" t="e">
        <v>#VALUE!</v>
      </c>
    </row>
    <row r="23" spans="1:17" x14ac:dyDescent="0.2">
      <c r="A23" s="4" t="s">
        <v>38</v>
      </c>
      <c r="B23" s="13">
        <v>1010324720</v>
      </c>
      <c r="C23" s="13">
        <v>933309329.44000006</v>
      </c>
      <c r="D23" s="13">
        <v>77015390.559999943</v>
      </c>
      <c r="E23" s="13">
        <v>31569289.68</v>
      </c>
      <c r="F23" s="13">
        <v>23059848</v>
      </c>
      <c r="G23" s="14">
        <v>3.34</v>
      </c>
      <c r="H23" s="14">
        <v>1.37</v>
      </c>
      <c r="I23" s="13">
        <v>2630774.14</v>
      </c>
      <c r="J23" s="15">
        <v>0</v>
      </c>
      <c r="K23" s="13">
        <v>77015390.559999943</v>
      </c>
      <c r="L23" s="13" t="s">
        <v>193</v>
      </c>
      <c r="M23" s="13" t="s">
        <v>193</v>
      </c>
      <c r="N23" s="197">
        <v>43922</v>
      </c>
      <c r="O23" s="16">
        <v>45383</v>
      </c>
      <c r="P23" s="13">
        <v>1280307.3700000001</v>
      </c>
      <c r="Q23" s="242" t="e">
        <v>#VALUE!</v>
      </c>
    </row>
    <row r="24" spans="1:17" x14ac:dyDescent="0.2">
      <c r="A24" s="4" t="s">
        <v>55</v>
      </c>
      <c r="B24" s="13">
        <v>254239457</v>
      </c>
      <c r="C24" s="13">
        <v>235382327.47999999</v>
      </c>
      <c r="D24" s="13">
        <v>18857129.520000011</v>
      </c>
      <c r="E24" s="13">
        <v>4614705.42</v>
      </c>
      <c r="F24" s="13">
        <v>5680880</v>
      </c>
      <c r="G24" s="14">
        <v>3.32</v>
      </c>
      <c r="H24" s="14">
        <v>0.81</v>
      </c>
      <c r="I24" s="13">
        <v>384558.78499999997</v>
      </c>
      <c r="J24" s="15">
        <v>7</v>
      </c>
      <c r="K24" s="13">
        <v>16165218.025000012</v>
      </c>
      <c r="L24" s="13">
        <v>1070767.0742857158</v>
      </c>
      <c r="M24" s="13">
        <v>664989.93142857298</v>
      </c>
      <c r="N24" s="197">
        <v>43831</v>
      </c>
      <c r="O24" s="16">
        <v>45658</v>
      </c>
      <c r="P24" s="13">
        <v>272477.53999999998</v>
      </c>
      <c r="Q24" s="242" t="e">
        <v>#VALUE!</v>
      </c>
    </row>
    <row r="25" spans="1:17" x14ac:dyDescent="0.2">
      <c r="A25" s="4" t="s">
        <v>51</v>
      </c>
      <c r="B25" s="13">
        <v>2001064841.29</v>
      </c>
      <c r="C25" s="13">
        <v>1873943415.6199999</v>
      </c>
      <c r="D25" s="13">
        <v>127121425.67000008</v>
      </c>
      <c r="E25" s="13">
        <v>38461554.93</v>
      </c>
      <c r="F25" s="13">
        <v>40779947</v>
      </c>
      <c r="G25" s="14">
        <v>3.12</v>
      </c>
      <c r="H25" s="14">
        <v>0.94</v>
      </c>
      <c r="I25" s="13">
        <v>3205129.5775000001</v>
      </c>
      <c r="J25" s="15">
        <v>7</v>
      </c>
      <c r="K25" s="13">
        <v>104685518.62750007</v>
      </c>
      <c r="L25" s="13">
        <v>6508790.2385714399</v>
      </c>
      <c r="M25" s="13">
        <v>3595936.8814285821</v>
      </c>
      <c r="N25" s="197">
        <v>43831</v>
      </c>
      <c r="O25" s="16">
        <v>45658</v>
      </c>
      <c r="P25" s="13">
        <v>2208583.5</v>
      </c>
      <c r="Q25" s="242" t="e">
        <v>#VALUE!</v>
      </c>
    </row>
    <row r="26" spans="1:17" x14ac:dyDescent="0.2">
      <c r="A26" s="4" t="s">
        <v>28</v>
      </c>
      <c r="B26" s="13">
        <v>1059732308</v>
      </c>
      <c r="C26" s="13">
        <v>985203499.45000005</v>
      </c>
      <c r="D26" s="13">
        <v>74528808.549999952</v>
      </c>
      <c r="E26" s="13">
        <v>16573135.300000001</v>
      </c>
      <c r="F26" s="13">
        <v>24168777</v>
      </c>
      <c r="G26" s="14">
        <v>3.08</v>
      </c>
      <c r="H26" s="14">
        <v>0.69</v>
      </c>
      <c r="I26" s="13">
        <v>1381094.6083333334</v>
      </c>
      <c r="J26" s="15">
        <v>7</v>
      </c>
      <c r="K26" s="13">
        <v>64861146.291666619</v>
      </c>
      <c r="L26" s="13">
        <v>3741607.7928571361</v>
      </c>
      <c r="M26" s="13">
        <v>2015266.5785714218</v>
      </c>
      <c r="N26" s="197">
        <v>43831</v>
      </c>
      <c r="O26" s="16">
        <v>45658</v>
      </c>
      <c r="P26" s="13">
        <v>1547998.46</v>
      </c>
      <c r="Q26" s="242" t="e">
        <v>#VALUE!</v>
      </c>
    </row>
    <row r="27" spans="1:17" x14ac:dyDescent="0.2">
      <c r="A27" s="4" t="s">
        <v>45</v>
      </c>
      <c r="B27" s="13">
        <v>1228777673.53</v>
      </c>
      <c r="C27" s="13">
        <v>1085205063.1600001</v>
      </c>
      <c r="D27" s="13">
        <v>143572610.36999989</v>
      </c>
      <c r="E27" s="13">
        <v>54387063.240000002</v>
      </c>
      <c r="F27" s="13">
        <v>47456120</v>
      </c>
      <c r="G27" s="14">
        <v>3.03</v>
      </c>
      <c r="H27" s="14">
        <v>1.1499999999999999</v>
      </c>
      <c r="I27" s="13">
        <v>4532255.2700000005</v>
      </c>
      <c r="J27" s="15">
        <v>7</v>
      </c>
      <c r="K27" s="13">
        <v>111846823.47999988</v>
      </c>
      <c r="L27" s="13">
        <v>6951481.4814285552</v>
      </c>
      <c r="M27" s="13" t="s">
        <v>192</v>
      </c>
      <c r="N27" s="197">
        <v>43831</v>
      </c>
      <c r="O27" s="16">
        <v>45658</v>
      </c>
      <c r="P27" s="13">
        <v>2134771.17</v>
      </c>
      <c r="Q27" s="242" t="e">
        <v>#VALUE!</v>
      </c>
    </row>
    <row r="28" spans="1:17" x14ac:dyDescent="0.2">
      <c r="A28" s="4" t="s">
        <v>33</v>
      </c>
      <c r="B28" s="13">
        <v>314446387.48000002</v>
      </c>
      <c r="C28" s="13">
        <v>289463907.63</v>
      </c>
      <c r="D28" s="13">
        <v>24982479.850000024</v>
      </c>
      <c r="E28" s="13">
        <v>8418087.5399999991</v>
      </c>
      <c r="F28" s="13">
        <v>8369791</v>
      </c>
      <c r="G28" s="14">
        <v>2.98</v>
      </c>
      <c r="H28" s="14">
        <v>1.01</v>
      </c>
      <c r="I28" s="13">
        <v>701507.29499999993</v>
      </c>
      <c r="J28" s="15">
        <v>1</v>
      </c>
      <c r="K28" s="13">
        <v>24280972.555000022</v>
      </c>
      <c r="L28" s="13">
        <v>8242897.8500000238</v>
      </c>
      <c r="M28" s="13">
        <v>4058002.3500000238</v>
      </c>
      <c r="N28" s="197">
        <v>43647</v>
      </c>
      <c r="O28" s="16">
        <v>45474</v>
      </c>
      <c r="P28" s="13">
        <v>214651.05</v>
      </c>
      <c r="Q28" s="242" t="e">
        <v>#VALUE!</v>
      </c>
    </row>
    <row r="29" spans="1:17" x14ac:dyDescent="0.2">
      <c r="A29" s="4" t="s">
        <v>24</v>
      </c>
      <c r="B29" s="13">
        <v>1642297566.0699999</v>
      </c>
      <c r="C29" s="13">
        <v>1521966126.8699999</v>
      </c>
      <c r="D29" s="13">
        <v>120331439.20000005</v>
      </c>
      <c r="E29" s="13">
        <v>37604886.920000002</v>
      </c>
      <c r="F29" s="13">
        <v>40984884</v>
      </c>
      <c r="G29" s="14">
        <v>2.94</v>
      </c>
      <c r="H29" s="14">
        <v>0.92</v>
      </c>
      <c r="I29" s="13">
        <v>3133740.5766666667</v>
      </c>
      <c r="J29" s="15">
        <v>1</v>
      </c>
      <c r="K29" s="13">
        <v>117197698.62333338</v>
      </c>
      <c r="L29" s="13">
        <v>38361671.200000048</v>
      </c>
      <c r="M29" s="13">
        <v>17869229.200000048</v>
      </c>
      <c r="N29" s="197">
        <v>43647</v>
      </c>
      <c r="O29" s="16">
        <v>45474</v>
      </c>
      <c r="P29" s="13">
        <v>3033173.84</v>
      </c>
      <c r="Q29" s="242" t="e">
        <v>#VALUE!</v>
      </c>
    </row>
    <row r="30" spans="1:17" x14ac:dyDescent="0.2">
      <c r="A30" s="4" t="s">
        <v>37</v>
      </c>
      <c r="B30" s="13">
        <v>1239472339.1700001</v>
      </c>
      <c r="C30" s="13">
        <v>1168600702.54</v>
      </c>
      <c r="D30" s="13">
        <v>70871636.630000114</v>
      </c>
      <c r="E30" s="13">
        <v>21456851.190000001</v>
      </c>
      <c r="F30" s="13">
        <v>24088947</v>
      </c>
      <c r="G30" s="14">
        <v>2.94</v>
      </c>
      <c r="H30" s="14">
        <v>0.89</v>
      </c>
      <c r="I30" s="13">
        <v>1788070.9325000001</v>
      </c>
      <c r="J30" s="15">
        <v>1</v>
      </c>
      <c r="K30" s="13">
        <v>69083565.69750011</v>
      </c>
      <c r="L30" s="13">
        <v>22693742.630000114</v>
      </c>
      <c r="M30" s="13">
        <v>10649269.130000114</v>
      </c>
      <c r="N30" s="197">
        <v>43647</v>
      </c>
      <c r="O30" s="16">
        <v>45474</v>
      </c>
      <c r="P30" s="13">
        <v>1988596.22</v>
      </c>
      <c r="Q30" s="242" t="e">
        <v>#VALUE!</v>
      </c>
    </row>
    <row r="31" spans="1:17" x14ac:dyDescent="0.2">
      <c r="A31" s="4" t="s">
        <v>29</v>
      </c>
      <c r="B31" s="13">
        <v>675052951</v>
      </c>
      <c r="C31" s="13">
        <v>633192601.21000004</v>
      </c>
      <c r="D31" s="13">
        <v>41860349.789999962</v>
      </c>
      <c r="E31" s="13">
        <v>10031558.73</v>
      </c>
      <c r="F31" s="13">
        <v>14786581</v>
      </c>
      <c r="G31" s="14">
        <v>2.83</v>
      </c>
      <c r="H31" s="14">
        <v>0.68</v>
      </c>
      <c r="I31" s="13">
        <v>835963.22750000004</v>
      </c>
      <c r="J31" s="15">
        <v>7</v>
      </c>
      <c r="K31" s="13">
        <v>36008607.197499961</v>
      </c>
      <c r="L31" s="13">
        <v>1755312.541428566</v>
      </c>
      <c r="M31" s="13" t="s">
        <v>192</v>
      </c>
      <c r="N31" s="197">
        <v>43466</v>
      </c>
      <c r="O31" s="16">
        <v>45658</v>
      </c>
      <c r="P31" s="13">
        <v>640395.59</v>
      </c>
      <c r="Q31" s="242" t="e">
        <v>#VALUE!</v>
      </c>
    </row>
    <row r="32" spans="1:17" x14ac:dyDescent="0.2">
      <c r="A32" s="4" t="s">
        <v>20</v>
      </c>
      <c r="B32" s="13">
        <v>392634217.93000001</v>
      </c>
      <c r="C32" s="13">
        <v>366389821.02999997</v>
      </c>
      <c r="D32" s="13">
        <v>26244396.900000036</v>
      </c>
      <c r="E32" s="13">
        <v>16882787.969999999</v>
      </c>
      <c r="F32" s="13">
        <v>9305817</v>
      </c>
      <c r="G32" s="14">
        <v>2.82</v>
      </c>
      <c r="H32" s="14">
        <v>1.81</v>
      </c>
      <c r="I32" s="13">
        <v>1406898.9974999998</v>
      </c>
      <c r="J32" s="15">
        <v>0</v>
      </c>
      <c r="K32" s="13">
        <v>26244396.900000036</v>
      </c>
      <c r="L32" s="13" t="s">
        <v>193</v>
      </c>
      <c r="M32" s="13" t="s">
        <v>193</v>
      </c>
      <c r="N32" s="197">
        <v>43556</v>
      </c>
      <c r="O32" s="16">
        <v>45383</v>
      </c>
      <c r="P32" s="13">
        <v>613509.91</v>
      </c>
      <c r="Q32" s="242" t="e">
        <v>#VALUE!</v>
      </c>
    </row>
    <row r="33" spans="1:17" x14ac:dyDescent="0.2">
      <c r="A33" s="4" t="s">
        <v>21</v>
      </c>
      <c r="B33" s="13">
        <v>528328839.02999997</v>
      </c>
      <c r="C33" s="13">
        <v>490180864.73000002</v>
      </c>
      <c r="D33" s="13">
        <v>38147974.299999952</v>
      </c>
      <c r="E33" s="13">
        <v>21700267.129999999</v>
      </c>
      <c r="F33" s="13">
        <v>13880022</v>
      </c>
      <c r="G33" s="14">
        <v>2.75</v>
      </c>
      <c r="H33" s="14">
        <v>1.56</v>
      </c>
      <c r="I33" s="13">
        <v>1808355.5941666665</v>
      </c>
      <c r="J33" s="15">
        <v>1</v>
      </c>
      <c r="K33" s="13">
        <v>36339618.705833286</v>
      </c>
      <c r="L33" s="13">
        <v>10387930.299999952</v>
      </c>
      <c r="M33" s="13">
        <v>3447919.2999999523</v>
      </c>
      <c r="N33" s="197">
        <v>43647</v>
      </c>
      <c r="O33" s="16">
        <v>45474</v>
      </c>
      <c r="P33" s="13">
        <v>0</v>
      </c>
      <c r="Q33" s="242" t="e">
        <v>#VALUE!</v>
      </c>
    </row>
    <row r="34" spans="1:17" x14ac:dyDescent="0.2">
      <c r="A34" s="4" t="s">
        <v>56</v>
      </c>
      <c r="B34" s="13">
        <v>1154905413</v>
      </c>
      <c r="C34" s="13">
        <v>1079392075.2</v>
      </c>
      <c r="D34" s="13">
        <v>75513337.799999952</v>
      </c>
      <c r="E34" s="13">
        <v>22934865.66</v>
      </c>
      <c r="F34" s="13">
        <v>27571438</v>
      </c>
      <c r="G34" s="14">
        <v>2.74</v>
      </c>
      <c r="H34" s="14">
        <v>0.83</v>
      </c>
      <c r="I34" s="13">
        <v>1911238.8049999999</v>
      </c>
      <c r="J34" s="15">
        <v>1</v>
      </c>
      <c r="K34" s="13">
        <v>73602098.994999945</v>
      </c>
      <c r="L34" s="13">
        <v>20370461.799999952</v>
      </c>
      <c r="M34" s="13">
        <v>6584742.7999999523</v>
      </c>
      <c r="N34" s="197">
        <v>43647</v>
      </c>
      <c r="O34" s="16">
        <v>45474</v>
      </c>
      <c r="P34" s="13">
        <v>1205224.33</v>
      </c>
      <c r="Q34" s="242" t="e">
        <v>#VALUE!</v>
      </c>
    </row>
    <row r="35" spans="1:17" x14ac:dyDescent="0.2">
      <c r="A35" s="4" t="s">
        <v>42</v>
      </c>
      <c r="B35" s="13">
        <v>346058940</v>
      </c>
      <c r="C35" s="13">
        <v>321905098.80000001</v>
      </c>
      <c r="D35" s="13">
        <v>24153841.199999988</v>
      </c>
      <c r="E35" s="13">
        <v>5275579.6900000004</v>
      </c>
      <c r="F35" s="13">
        <v>9353201</v>
      </c>
      <c r="G35" s="14">
        <v>2.58</v>
      </c>
      <c r="H35" s="14">
        <v>0.56000000000000005</v>
      </c>
      <c r="I35" s="13">
        <v>439631.64083333337</v>
      </c>
      <c r="J35" s="15">
        <v>7</v>
      </c>
      <c r="K35" s="13">
        <v>21076419.714166656</v>
      </c>
      <c r="L35" s="13">
        <v>778205.59999999835</v>
      </c>
      <c r="M35" s="13" t="s">
        <v>192</v>
      </c>
      <c r="N35" s="197">
        <v>43831</v>
      </c>
      <c r="O35" s="16">
        <v>45658</v>
      </c>
      <c r="P35" s="13">
        <v>203791.08</v>
      </c>
      <c r="Q35" s="242" t="e">
        <v>#VALUE!</v>
      </c>
    </row>
    <row r="36" spans="1:17" x14ac:dyDescent="0.2">
      <c r="A36" s="4" t="s">
        <v>57</v>
      </c>
      <c r="B36" s="13">
        <v>2879313105.54</v>
      </c>
      <c r="C36" s="13">
        <v>2698630464.4699998</v>
      </c>
      <c r="D36" s="13">
        <v>180682641.07000017</v>
      </c>
      <c r="E36" s="13">
        <v>77931486.219999999</v>
      </c>
      <c r="F36" s="13">
        <v>70613641</v>
      </c>
      <c r="G36" s="14">
        <v>2.56</v>
      </c>
      <c r="H36" s="14">
        <v>1.1000000000000001</v>
      </c>
      <c r="I36" s="13">
        <v>6494290.5183333335</v>
      </c>
      <c r="J36" s="15">
        <v>3</v>
      </c>
      <c r="K36" s="13">
        <v>161199769.51500016</v>
      </c>
      <c r="L36" s="13">
        <v>13151786.356666723</v>
      </c>
      <c r="M36" s="13" t="s">
        <v>192</v>
      </c>
      <c r="N36" s="197">
        <v>44075</v>
      </c>
      <c r="O36" s="16">
        <v>45536</v>
      </c>
      <c r="P36" s="13">
        <v>4601892.1399999997</v>
      </c>
      <c r="Q36" s="242" t="e">
        <v>#VALUE!</v>
      </c>
    </row>
    <row r="37" spans="1:17" x14ac:dyDescent="0.2">
      <c r="A37" s="4" t="s">
        <v>50</v>
      </c>
      <c r="B37" s="13">
        <v>545409679.30999994</v>
      </c>
      <c r="C37" s="13">
        <v>515638245.31</v>
      </c>
      <c r="D37" s="13">
        <v>29771433.99999994</v>
      </c>
      <c r="E37" s="13">
        <v>15411647.83</v>
      </c>
      <c r="F37" s="13">
        <v>11656242</v>
      </c>
      <c r="G37" s="14">
        <v>2.5499999999999998</v>
      </c>
      <c r="H37" s="14">
        <v>1.32</v>
      </c>
      <c r="I37" s="13">
        <v>1284303.9858333333</v>
      </c>
      <c r="J37" s="15">
        <v>7</v>
      </c>
      <c r="K37" s="13">
        <v>20781306.099166609</v>
      </c>
      <c r="L37" s="13" t="s">
        <v>192</v>
      </c>
      <c r="M37" s="13" t="s">
        <v>192</v>
      </c>
      <c r="N37" s="197">
        <v>43831</v>
      </c>
      <c r="O37" s="16">
        <v>45658</v>
      </c>
      <c r="P37" s="13">
        <v>287665</v>
      </c>
      <c r="Q37" s="242" t="e">
        <v>#VALUE!</v>
      </c>
    </row>
    <row r="38" spans="1:17" x14ac:dyDescent="0.2">
      <c r="A38" s="4" t="s">
        <v>61</v>
      </c>
      <c r="B38" s="13">
        <v>522049097</v>
      </c>
      <c r="C38" s="13">
        <v>489092055.63</v>
      </c>
      <c r="D38" s="13">
        <v>32957041.370000005</v>
      </c>
      <c r="E38" s="13">
        <v>15268939.91</v>
      </c>
      <c r="F38" s="13">
        <v>13105608</v>
      </c>
      <c r="G38" s="14">
        <v>2.5099999999999998</v>
      </c>
      <c r="H38" s="14">
        <v>1.17</v>
      </c>
      <c r="I38" s="13">
        <v>1272411.6591666667</v>
      </c>
      <c r="J38" s="15">
        <v>1</v>
      </c>
      <c r="K38" s="13">
        <v>31684629.710833337</v>
      </c>
      <c r="L38" s="13">
        <v>6745825.3700000048</v>
      </c>
      <c r="M38" s="13" t="s">
        <v>192</v>
      </c>
      <c r="N38" s="197">
        <v>43647</v>
      </c>
      <c r="O38" s="16">
        <v>45474</v>
      </c>
      <c r="P38" s="13">
        <v>824694.91</v>
      </c>
      <c r="Q38" s="242" t="e">
        <v>#VALUE!</v>
      </c>
    </row>
    <row r="39" spans="1:17" x14ac:dyDescent="0.2">
      <c r="A39" s="4" t="s">
        <v>34</v>
      </c>
      <c r="B39" s="13">
        <v>1394382977.99</v>
      </c>
      <c r="C39" s="13">
        <v>1308077765.51</v>
      </c>
      <c r="D39" s="13">
        <v>86305212.480000019</v>
      </c>
      <c r="E39" s="13">
        <v>36145091.829999998</v>
      </c>
      <c r="F39" s="13">
        <v>34869850</v>
      </c>
      <c r="G39" s="14">
        <v>2.48</v>
      </c>
      <c r="H39" s="14">
        <v>1.04</v>
      </c>
      <c r="I39" s="13">
        <v>3012090.9858333333</v>
      </c>
      <c r="J39" s="15">
        <v>0</v>
      </c>
      <c r="K39" s="13">
        <v>86305212.480000019</v>
      </c>
      <c r="L39" s="13" t="s">
        <v>193</v>
      </c>
      <c r="M39" s="13" t="s">
        <v>192</v>
      </c>
      <c r="N39" s="197">
        <v>43922</v>
      </c>
      <c r="O39" s="16">
        <v>45383</v>
      </c>
      <c r="P39" s="13">
        <v>2228079.0099999998</v>
      </c>
      <c r="Q39" s="242" t="e">
        <v>#VALUE!</v>
      </c>
    </row>
    <row r="40" spans="1:17" x14ac:dyDescent="0.2">
      <c r="A40" s="4" t="s">
        <v>15</v>
      </c>
      <c r="B40" s="13">
        <v>1085275104.5</v>
      </c>
      <c r="C40" s="13">
        <v>1028782385</v>
      </c>
      <c r="D40" s="13">
        <v>56492719.5</v>
      </c>
      <c r="E40" s="13">
        <v>20798356.670000002</v>
      </c>
      <c r="F40" s="13">
        <v>22858857</v>
      </c>
      <c r="G40" s="14">
        <v>2.4700000000000002</v>
      </c>
      <c r="H40" s="14">
        <v>0.91</v>
      </c>
      <c r="I40" s="13">
        <v>1733196.3891666669</v>
      </c>
      <c r="J40" s="15">
        <v>0</v>
      </c>
      <c r="K40" s="13">
        <v>56492719.5</v>
      </c>
      <c r="L40" s="13" t="s">
        <v>193</v>
      </c>
      <c r="M40" s="13" t="s">
        <v>192</v>
      </c>
      <c r="N40" s="197">
        <v>43556</v>
      </c>
      <c r="O40" s="16">
        <v>45383</v>
      </c>
      <c r="P40" s="13">
        <v>1365640.67</v>
      </c>
      <c r="Q40" s="242" t="e">
        <v>#VALUE!</v>
      </c>
    </row>
    <row r="41" spans="1:17" x14ac:dyDescent="0.2">
      <c r="A41" s="4" t="s">
        <v>27</v>
      </c>
      <c r="B41" s="13">
        <v>1309738768.5599999</v>
      </c>
      <c r="C41" s="13">
        <v>1237022726.5599999</v>
      </c>
      <c r="D41" s="13">
        <v>72716042</v>
      </c>
      <c r="E41" s="13">
        <v>26782843.48</v>
      </c>
      <c r="F41" s="13">
        <v>30738746</v>
      </c>
      <c r="G41" s="14">
        <v>2.37</v>
      </c>
      <c r="H41" s="14">
        <v>0.87</v>
      </c>
      <c r="I41" s="13">
        <v>2231903.6233333335</v>
      </c>
      <c r="J41" s="15">
        <v>1</v>
      </c>
      <c r="K41" s="13">
        <v>70484138.376666665</v>
      </c>
      <c r="L41" s="13">
        <v>11238550</v>
      </c>
      <c r="M41" s="13" t="s">
        <v>192</v>
      </c>
      <c r="N41" s="197">
        <v>43647</v>
      </c>
      <c r="O41" s="16">
        <v>45474</v>
      </c>
      <c r="P41" s="13">
        <v>2648045.89</v>
      </c>
      <c r="Q41" s="242" t="e">
        <v>#VALUE!</v>
      </c>
    </row>
    <row r="42" spans="1:17" x14ac:dyDescent="0.2">
      <c r="A42" s="4" t="s">
        <v>31</v>
      </c>
      <c r="B42" s="13">
        <v>1205115490</v>
      </c>
      <c r="C42" s="13">
        <v>1152569119.5999999</v>
      </c>
      <c r="D42" s="13">
        <v>52546370.400000095</v>
      </c>
      <c r="E42" s="13">
        <v>25394263.77</v>
      </c>
      <c r="F42" s="13">
        <v>22499042</v>
      </c>
      <c r="G42" s="14">
        <v>2.34</v>
      </c>
      <c r="H42" s="14">
        <v>1.1299999999999999</v>
      </c>
      <c r="I42" s="13">
        <v>2116188.6475</v>
      </c>
      <c r="J42" s="15">
        <v>0</v>
      </c>
      <c r="K42" s="13">
        <v>52546370.400000095</v>
      </c>
      <c r="L42" s="13" t="s">
        <v>193</v>
      </c>
      <c r="M42" s="13" t="s">
        <v>192</v>
      </c>
      <c r="N42" s="197">
        <v>43922</v>
      </c>
      <c r="O42" s="16">
        <v>45383</v>
      </c>
      <c r="P42" s="13">
        <v>1569208.37</v>
      </c>
      <c r="Q42" s="242" t="e">
        <v>#VALUE!</v>
      </c>
    </row>
    <row r="43" spans="1:17" x14ac:dyDescent="0.2">
      <c r="A43" s="4" t="s">
        <v>25</v>
      </c>
      <c r="B43" s="13">
        <v>342887810.45999998</v>
      </c>
      <c r="C43" s="13">
        <v>323990266.25999999</v>
      </c>
      <c r="D43" s="13">
        <v>18897544.199999988</v>
      </c>
      <c r="E43" s="13">
        <v>8664733.9100000001</v>
      </c>
      <c r="F43" s="13">
        <v>8236180</v>
      </c>
      <c r="G43" s="14">
        <v>2.29</v>
      </c>
      <c r="H43" s="14">
        <v>1.05</v>
      </c>
      <c r="I43" s="13">
        <v>722061.15916666668</v>
      </c>
      <c r="J43" s="15">
        <v>0</v>
      </c>
      <c r="K43" s="13">
        <v>18897544.199999988</v>
      </c>
      <c r="L43" s="13" t="s">
        <v>193</v>
      </c>
      <c r="M43" s="13" t="s">
        <v>192</v>
      </c>
      <c r="N43" s="197">
        <v>43556</v>
      </c>
      <c r="O43" s="16">
        <v>45383</v>
      </c>
      <c r="P43" s="13">
        <v>525850.76</v>
      </c>
      <c r="Q43" s="242" t="e">
        <v>#VALUE!</v>
      </c>
    </row>
    <row r="44" spans="1:17" x14ac:dyDescent="0.2">
      <c r="A44" s="4" t="s">
        <v>59</v>
      </c>
      <c r="B44" s="13">
        <v>277600986</v>
      </c>
      <c r="C44" s="13">
        <v>260607124.03</v>
      </c>
      <c r="D44" s="13">
        <v>16993861.969999999</v>
      </c>
      <c r="E44" s="13">
        <v>8338191.5499999998</v>
      </c>
      <c r="F44" s="13">
        <v>7461397</v>
      </c>
      <c r="G44" s="14">
        <v>2.2799999999999998</v>
      </c>
      <c r="H44" s="14">
        <v>1.1200000000000001</v>
      </c>
      <c r="I44" s="13">
        <v>694849.29583333328</v>
      </c>
      <c r="J44" s="15">
        <v>1</v>
      </c>
      <c r="K44" s="13">
        <v>16299012.674166666</v>
      </c>
      <c r="L44" s="13">
        <v>2071067.9699999988</v>
      </c>
      <c r="M44" s="13" t="s">
        <v>192</v>
      </c>
      <c r="N44" s="197">
        <v>43647</v>
      </c>
      <c r="O44" s="16">
        <v>45474</v>
      </c>
      <c r="P44" s="13">
        <v>1477946.44</v>
      </c>
      <c r="Q44" s="242" t="e">
        <v>#VALUE!</v>
      </c>
    </row>
    <row r="45" spans="1:17" x14ac:dyDescent="0.2">
      <c r="A45" s="4" t="s">
        <v>41</v>
      </c>
      <c r="B45" s="13">
        <v>98701064</v>
      </c>
      <c r="C45" s="13">
        <v>92616233.099999994</v>
      </c>
      <c r="D45" s="13">
        <v>6084830.900000006</v>
      </c>
      <c r="E45" s="13">
        <v>4894835.9800000004</v>
      </c>
      <c r="F45" s="13">
        <v>2898567</v>
      </c>
      <c r="G45" s="14">
        <v>2.1</v>
      </c>
      <c r="H45" s="14">
        <v>1.69</v>
      </c>
      <c r="I45" s="13">
        <v>407902.99833333335</v>
      </c>
      <c r="J45" s="15">
        <v>1</v>
      </c>
      <c r="K45" s="13">
        <v>5676927.9016666729</v>
      </c>
      <c r="L45" s="13" t="s">
        <v>192</v>
      </c>
      <c r="M45" s="13" t="s">
        <v>192</v>
      </c>
      <c r="N45" s="197">
        <v>43647</v>
      </c>
      <c r="O45" s="16">
        <v>45474</v>
      </c>
      <c r="P45" s="13">
        <v>108794.5</v>
      </c>
      <c r="Q45" s="242" t="e">
        <v>#VALUE!</v>
      </c>
    </row>
    <row r="46" spans="1:17" x14ac:dyDescent="0.2">
      <c r="A46" s="4" t="s">
        <v>49</v>
      </c>
      <c r="B46" s="13">
        <v>685388676.61000001</v>
      </c>
      <c r="C46" s="13">
        <v>656955899.63</v>
      </c>
      <c r="D46" s="13">
        <v>28432776.980000019</v>
      </c>
      <c r="E46" s="13">
        <v>16804912.219999999</v>
      </c>
      <c r="F46" s="13">
        <v>13963452</v>
      </c>
      <c r="G46" s="14">
        <v>2.04</v>
      </c>
      <c r="H46" s="14">
        <v>1.2</v>
      </c>
      <c r="I46" s="13">
        <v>1400409.3516666666</v>
      </c>
      <c r="J46" s="15">
        <v>0</v>
      </c>
      <c r="K46" s="13">
        <v>28432776.980000019</v>
      </c>
      <c r="L46" s="13" t="s">
        <v>193</v>
      </c>
      <c r="M46" s="13" t="s">
        <v>192</v>
      </c>
      <c r="N46" s="197">
        <v>43922</v>
      </c>
      <c r="O46" s="16">
        <v>45383</v>
      </c>
      <c r="P46" s="13">
        <v>681121.09</v>
      </c>
      <c r="Q46" s="242" t="e">
        <v>#VALUE!</v>
      </c>
    </row>
    <row r="47" spans="1:17" x14ac:dyDescent="0.2">
      <c r="A47" s="4" t="s">
        <v>48</v>
      </c>
      <c r="B47" s="13">
        <v>1940110596.77</v>
      </c>
      <c r="C47" s="13">
        <v>1848059338.45</v>
      </c>
      <c r="D47" s="13">
        <v>92051258.319999933</v>
      </c>
      <c r="E47" s="13">
        <v>41094610.109999999</v>
      </c>
      <c r="F47" s="13">
        <v>45492764</v>
      </c>
      <c r="G47" s="14">
        <v>2.02</v>
      </c>
      <c r="H47" s="14">
        <v>0.9</v>
      </c>
      <c r="I47" s="13">
        <v>3424550.8424999998</v>
      </c>
      <c r="J47" s="15">
        <v>1</v>
      </c>
      <c r="K47" s="13">
        <v>88626707.477499932</v>
      </c>
      <c r="L47" s="13" t="s">
        <v>192</v>
      </c>
      <c r="M47" s="13" t="s">
        <v>192</v>
      </c>
      <c r="N47" s="197">
        <v>43647</v>
      </c>
      <c r="O47" s="16">
        <v>45474</v>
      </c>
      <c r="P47" s="13">
        <v>2591967.81</v>
      </c>
      <c r="Q47" s="242" t="e">
        <v>#VALUE!</v>
      </c>
    </row>
    <row r="48" spans="1:17" x14ac:dyDescent="0.2">
      <c r="A48" s="4" t="s">
        <v>17</v>
      </c>
      <c r="B48" s="13">
        <v>389160034</v>
      </c>
      <c r="C48" s="13">
        <v>369986327.20999998</v>
      </c>
      <c r="D48" s="13">
        <v>19173706.790000021</v>
      </c>
      <c r="E48" s="13">
        <v>10458625.130000001</v>
      </c>
      <c r="F48" s="13">
        <v>10126728</v>
      </c>
      <c r="G48" s="14">
        <v>1.89</v>
      </c>
      <c r="H48" s="14">
        <v>1.03</v>
      </c>
      <c r="I48" s="13">
        <v>871552.09416666673</v>
      </c>
      <c r="J48" s="15">
        <v>1</v>
      </c>
      <c r="K48" s="13">
        <v>18302154.695833355</v>
      </c>
      <c r="L48" s="13" t="s">
        <v>192</v>
      </c>
      <c r="M48" s="13" t="s">
        <v>192</v>
      </c>
      <c r="N48" s="197">
        <v>43647</v>
      </c>
      <c r="O48" s="16">
        <v>45474</v>
      </c>
      <c r="P48" s="13">
        <v>666106.44999999995</v>
      </c>
      <c r="Q48" s="242" t="e">
        <v>#VALUE!</v>
      </c>
    </row>
    <row r="49" spans="1:17" x14ac:dyDescent="0.2">
      <c r="A49" s="4" t="s">
        <v>63</v>
      </c>
      <c r="B49" s="13">
        <v>1082941284</v>
      </c>
      <c r="C49" s="13">
        <v>1031932267.6</v>
      </c>
      <c r="D49" s="13">
        <v>51009016.399999976</v>
      </c>
      <c r="E49" s="13">
        <v>25924294.219999999</v>
      </c>
      <c r="F49" s="13">
        <v>27168342</v>
      </c>
      <c r="G49" s="14">
        <v>1.88</v>
      </c>
      <c r="H49" s="14">
        <v>0.95</v>
      </c>
      <c r="I49" s="13">
        <v>2160357.8516666666</v>
      </c>
      <c r="J49" s="15">
        <v>0</v>
      </c>
      <c r="K49" s="13">
        <v>51009016.399999976</v>
      </c>
      <c r="L49" s="13" t="s">
        <v>192</v>
      </c>
      <c r="M49" s="13" t="s">
        <v>192</v>
      </c>
      <c r="N49" s="197">
        <v>43922</v>
      </c>
      <c r="O49" s="16">
        <v>45383</v>
      </c>
      <c r="P49" s="13">
        <v>49690.98</v>
      </c>
      <c r="Q49" s="242" t="e">
        <v>#VALUE!</v>
      </c>
    </row>
    <row r="50" spans="1:17" x14ac:dyDescent="0.2">
      <c r="A50" s="4" t="s">
        <v>32</v>
      </c>
      <c r="B50" s="13">
        <v>497245980</v>
      </c>
      <c r="C50" s="13">
        <v>475194342.02999997</v>
      </c>
      <c r="D50" s="13">
        <v>22051637.970000029</v>
      </c>
      <c r="E50" s="13">
        <v>11553955.050000001</v>
      </c>
      <c r="F50" s="13">
        <v>11808636</v>
      </c>
      <c r="G50" s="14">
        <v>1.87</v>
      </c>
      <c r="H50" s="14">
        <v>0.98</v>
      </c>
      <c r="I50" s="13">
        <v>962829.58750000002</v>
      </c>
      <c r="J50" s="15">
        <v>7</v>
      </c>
      <c r="K50" s="13">
        <v>15311830.857500028</v>
      </c>
      <c r="L50" s="13" t="s">
        <v>192</v>
      </c>
      <c r="M50" s="13" t="s">
        <v>192</v>
      </c>
      <c r="N50" s="197">
        <v>43831</v>
      </c>
      <c r="O50" s="16">
        <v>45658</v>
      </c>
      <c r="P50" s="13">
        <v>813318.52</v>
      </c>
      <c r="Q50" s="242" t="e">
        <v>#VALUE!</v>
      </c>
    </row>
    <row r="51" spans="1:17" x14ac:dyDescent="0.2">
      <c r="A51" s="4" t="s">
        <v>58</v>
      </c>
      <c r="B51" s="13">
        <v>238203233</v>
      </c>
      <c r="C51" s="13">
        <v>229569356.69999999</v>
      </c>
      <c r="D51" s="13">
        <v>8633876.3000000119</v>
      </c>
      <c r="E51" s="13">
        <v>5541774.5700000003</v>
      </c>
      <c r="F51" s="13">
        <v>5501208</v>
      </c>
      <c r="G51" s="14">
        <v>1.57</v>
      </c>
      <c r="H51" s="14">
        <v>1.01</v>
      </c>
      <c r="I51" s="13">
        <v>461814.54750000004</v>
      </c>
      <c r="J51" s="15">
        <v>1</v>
      </c>
      <c r="K51" s="13">
        <v>8172061.7525000116</v>
      </c>
      <c r="L51" s="13" t="s">
        <v>192</v>
      </c>
      <c r="M51" s="13" t="s">
        <v>192</v>
      </c>
      <c r="N51" s="197">
        <v>43647</v>
      </c>
      <c r="O51" s="16">
        <v>45474</v>
      </c>
      <c r="P51" s="13">
        <v>311727.28999999998</v>
      </c>
      <c r="Q51" s="242" t="e">
        <v>#VALUE!</v>
      </c>
    </row>
    <row r="52" spans="1:17" x14ac:dyDescent="0.2">
      <c r="A52" s="4" t="s">
        <v>22</v>
      </c>
      <c r="B52" s="13">
        <v>75470621</v>
      </c>
      <c r="C52" s="13">
        <v>71849493.099999994</v>
      </c>
      <c r="D52" s="18">
        <v>3621127.900000006</v>
      </c>
      <c r="E52" s="13">
        <v>1878111.63</v>
      </c>
      <c r="F52" s="13">
        <v>2752623</v>
      </c>
      <c r="G52" s="14">
        <v>1.32</v>
      </c>
      <c r="H52" s="14">
        <v>0.68</v>
      </c>
      <c r="I52" s="18">
        <v>156509.30249999999</v>
      </c>
      <c r="J52" s="15">
        <v>1</v>
      </c>
      <c r="K52" s="18">
        <v>3464618.5975000057</v>
      </c>
      <c r="L52" s="18" t="s">
        <v>192</v>
      </c>
      <c r="M52" s="18" t="s">
        <v>192</v>
      </c>
      <c r="N52" s="198">
        <v>43647</v>
      </c>
      <c r="O52" s="16">
        <v>45474</v>
      </c>
      <c r="P52" s="13">
        <v>29789.1</v>
      </c>
      <c r="Q52" s="242" t="e">
        <v>#VALUE!</v>
      </c>
    </row>
    <row r="53" spans="1:17" x14ac:dyDescent="0.25">
      <c r="A53" s="36" t="s">
        <v>65</v>
      </c>
      <c r="B53" s="33">
        <v>43056918036.709999</v>
      </c>
      <c r="C53" s="13">
        <v>39824806689.540001</v>
      </c>
      <c r="D53" s="33">
        <v>3232111347.1699982</v>
      </c>
      <c r="E53" s="13">
        <v>938172158.84000003</v>
      </c>
      <c r="F53" s="13">
        <v>981907757</v>
      </c>
      <c r="G53" s="14">
        <v>3.29</v>
      </c>
      <c r="H53" s="14">
        <v>0.96</v>
      </c>
      <c r="I53" s="33">
        <v>78181013.236666664</v>
      </c>
      <c r="J53" s="34"/>
      <c r="K53" s="35"/>
      <c r="L53" s="35"/>
      <c r="M53" s="35"/>
      <c r="N53" s="35"/>
      <c r="O53" s="35"/>
      <c r="P53" s="33">
        <v>64151160.559999987</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36</v>
      </c>
      <c r="H56" s="25"/>
    </row>
    <row r="57" spans="1:17" ht="27" customHeight="1" thickBot="1" x14ac:dyDescent="0.3">
      <c r="D57" s="248" t="s">
        <v>67</v>
      </c>
      <c r="E57" s="249"/>
      <c r="F57" s="249"/>
      <c r="G57" s="27"/>
      <c r="H57" s="28">
        <v>29</v>
      </c>
    </row>
  </sheetData>
  <mergeCells count="2">
    <mergeCell ref="D56:F56"/>
    <mergeCell ref="D57:F57"/>
  </mergeCells>
  <conditionalFormatting sqref="G54">
    <cfRule type="cellIs" dxfId="335" priority="13" stopIfTrue="1" operator="greaterThan">
      <formula>2.5</formula>
    </cfRule>
    <cfRule type="cellIs" dxfId="334" priority="14" stopIfTrue="1" operator="between">
      <formula>2.01</formula>
      <formula>2.5</formula>
    </cfRule>
  </conditionalFormatting>
  <conditionalFormatting sqref="H3:H53">
    <cfRule type="cellIs" dxfId="333" priority="12" stopIfTrue="1" operator="lessThan">
      <formula>1</formula>
    </cfRule>
  </conditionalFormatting>
  <conditionalFormatting sqref="G3:G53">
    <cfRule type="cellIs" dxfId="332" priority="10" stopIfTrue="1" operator="greaterThan">
      <formula>2.5</formula>
    </cfRule>
    <cfRule type="cellIs" dxfId="331" priority="11" stopIfTrue="1" operator="between">
      <formula>2.01</formula>
      <formula>2.5</formula>
    </cfRule>
  </conditionalFormatting>
  <conditionalFormatting sqref="K3:K52">
    <cfRule type="cellIs" dxfId="330" priority="8" stopIfTrue="1" operator="greaterThan">
      <formula>$F3*2.5</formula>
    </cfRule>
    <cfRule type="cellIs" dxfId="329" priority="9" stopIfTrue="1" operator="between">
      <formula>$F3*2</formula>
      <formula>$F3*2.5</formula>
    </cfRule>
  </conditionalFormatting>
  <conditionalFormatting sqref="G54">
    <cfRule type="cellIs" dxfId="328" priority="6" stopIfTrue="1" operator="greaterThan">
      <formula>2.5</formula>
    </cfRule>
    <cfRule type="cellIs" dxfId="327" priority="7" stopIfTrue="1" operator="between">
      <formula>2.01</formula>
      <formula>2.5</formula>
    </cfRule>
  </conditionalFormatting>
  <conditionalFormatting sqref="H3:H53">
    <cfRule type="cellIs" dxfId="326" priority="5" stopIfTrue="1" operator="lessThan">
      <formula>1</formula>
    </cfRule>
  </conditionalFormatting>
  <conditionalFormatting sqref="G3:G53">
    <cfRule type="cellIs" dxfId="325" priority="3" stopIfTrue="1" operator="greaterThan">
      <formula>2.5</formula>
    </cfRule>
    <cfRule type="cellIs" dxfId="324" priority="4" stopIfTrue="1" operator="between">
      <formula>2.01</formula>
      <formula>2.5</formula>
    </cfRule>
  </conditionalFormatting>
  <conditionalFormatting sqref="K3:K52">
    <cfRule type="cellIs" dxfId="323" priority="1" stopIfTrue="1" operator="greaterThan">
      <formula>$F3*2.5</formula>
    </cfRule>
    <cfRule type="cellIs" dxfId="322"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25322-A224-45C7-AC3B-BFA79DF6DA06}">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275</v>
      </c>
      <c r="B1" s="196" t="s">
        <v>276</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1139975937.45</v>
      </c>
      <c r="C3" s="13">
        <v>987137567.41999996</v>
      </c>
      <c r="D3" s="13">
        <v>152838370.03000009</v>
      </c>
      <c r="E3" s="13">
        <v>12325906.810000001</v>
      </c>
      <c r="F3" s="13">
        <v>24778539</v>
      </c>
      <c r="G3" s="14">
        <v>6.17</v>
      </c>
      <c r="H3" s="14">
        <v>0.5</v>
      </c>
      <c r="I3" s="13">
        <v>1027158.9008333334</v>
      </c>
      <c r="J3" s="15">
        <v>0</v>
      </c>
      <c r="K3" s="13">
        <v>152838370.03000009</v>
      </c>
      <c r="L3" s="13" t="s">
        <v>193</v>
      </c>
      <c r="M3" s="13" t="s">
        <v>193</v>
      </c>
      <c r="N3" s="197">
        <v>43647</v>
      </c>
      <c r="O3" s="16">
        <v>45474</v>
      </c>
      <c r="P3" s="13">
        <v>1806796.32</v>
      </c>
      <c r="Q3" s="243" t="e">
        <v>#VALUE!</v>
      </c>
    </row>
    <row r="4" spans="1:17" x14ac:dyDescent="0.2">
      <c r="A4" s="4" t="s">
        <v>62</v>
      </c>
      <c r="B4" s="13">
        <v>708696383.32000005</v>
      </c>
      <c r="C4" s="13">
        <v>636111826.75</v>
      </c>
      <c r="D4" s="13">
        <v>72584556.570000052</v>
      </c>
      <c r="E4" s="13">
        <v>12050253.279999999</v>
      </c>
      <c r="F4" s="13">
        <v>13833071</v>
      </c>
      <c r="G4" s="14">
        <v>5.25</v>
      </c>
      <c r="H4" s="14">
        <v>0.87</v>
      </c>
      <c r="I4" s="13">
        <v>1004187.7733333333</v>
      </c>
      <c r="J4" s="15">
        <v>0</v>
      </c>
      <c r="K4" s="13">
        <v>72584556.570000052</v>
      </c>
      <c r="L4" s="13" t="s">
        <v>193</v>
      </c>
      <c r="M4" s="13" t="s">
        <v>193</v>
      </c>
      <c r="N4" s="197">
        <v>43647</v>
      </c>
      <c r="O4" s="16">
        <v>45474</v>
      </c>
      <c r="P4" s="13">
        <v>1109544.57</v>
      </c>
      <c r="Q4" s="242" t="e">
        <v>#VALUE!</v>
      </c>
    </row>
    <row r="5" spans="1:17" x14ac:dyDescent="0.2">
      <c r="A5" s="4" t="s">
        <v>46</v>
      </c>
      <c r="B5" s="13">
        <v>1788595890.3599999</v>
      </c>
      <c r="C5" s="13">
        <v>1546319825.8699999</v>
      </c>
      <c r="D5" s="13">
        <v>242276064.49000001</v>
      </c>
      <c r="E5" s="13">
        <v>38728261.189999998</v>
      </c>
      <c r="F5" s="13">
        <v>46272979</v>
      </c>
      <c r="G5" s="14">
        <v>5.24</v>
      </c>
      <c r="H5" s="14">
        <v>0.84</v>
      </c>
      <c r="I5" s="13">
        <v>3227355.0991666666</v>
      </c>
      <c r="J5" s="15">
        <v>5</v>
      </c>
      <c r="K5" s="13">
        <v>226139288.99416667</v>
      </c>
      <c r="L5" s="13">
        <v>29946021.298</v>
      </c>
      <c r="M5" s="13">
        <v>25318723.398000002</v>
      </c>
      <c r="N5" s="197">
        <v>43831</v>
      </c>
      <c r="O5" s="16">
        <v>45658</v>
      </c>
      <c r="P5" s="13">
        <v>4006903.59</v>
      </c>
      <c r="Q5" s="242" t="e">
        <v>#VALUE!</v>
      </c>
    </row>
    <row r="6" spans="1:17" x14ac:dyDescent="0.2">
      <c r="A6" s="4" t="s">
        <v>35</v>
      </c>
      <c r="B6" s="13">
        <v>1469242870.97</v>
      </c>
      <c r="C6" s="13">
        <v>1299395704.4200001</v>
      </c>
      <c r="D6" s="13">
        <v>169847166.54999995</v>
      </c>
      <c r="E6" s="13">
        <v>12083225.060000001</v>
      </c>
      <c r="F6" s="13">
        <v>33073641</v>
      </c>
      <c r="G6" s="14">
        <v>5.14</v>
      </c>
      <c r="H6" s="14">
        <v>0.37</v>
      </c>
      <c r="I6" s="13">
        <v>1006935.4216666667</v>
      </c>
      <c r="J6" s="15">
        <v>0</v>
      </c>
      <c r="K6" s="13">
        <v>169847166.54999995</v>
      </c>
      <c r="L6" s="13" t="s">
        <v>193</v>
      </c>
      <c r="M6" s="13" t="s">
        <v>193</v>
      </c>
      <c r="N6" s="197">
        <v>43647</v>
      </c>
      <c r="O6" s="16">
        <v>45474</v>
      </c>
      <c r="P6" s="13">
        <v>3458255.62</v>
      </c>
      <c r="Q6" s="242" t="e">
        <v>#VALUE!</v>
      </c>
    </row>
    <row r="7" spans="1:17" x14ac:dyDescent="0.2">
      <c r="A7" s="4" t="s">
        <v>26</v>
      </c>
      <c r="B7" s="13">
        <v>1336273473.74</v>
      </c>
      <c r="C7" s="13">
        <v>1194419942.3299999</v>
      </c>
      <c r="D7" s="13">
        <v>141853531.41000009</v>
      </c>
      <c r="E7" s="13">
        <v>21984744.469999999</v>
      </c>
      <c r="F7" s="13">
        <v>29074134</v>
      </c>
      <c r="G7" s="14">
        <v>4.88</v>
      </c>
      <c r="H7" s="14">
        <v>0.76</v>
      </c>
      <c r="I7" s="13">
        <v>1832062.0391666666</v>
      </c>
      <c r="J7" s="15">
        <v>5</v>
      </c>
      <c r="K7" s="13">
        <v>132693221.21416676</v>
      </c>
      <c r="L7" s="13">
        <v>16741052.682000017</v>
      </c>
      <c r="M7" s="13">
        <v>13833639.282000016</v>
      </c>
      <c r="N7" s="197">
        <v>43831</v>
      </c>
      <c r="O7" s="16">
        <v>45658</v>
      </c>
      <c r="P7" s="13">
        <v>4735949.24</v>
      </c>
      <c r="Q7" s="242" t="e">
        <v>#VALUE!</v>
      </c>
    </row>
    <row r="8" spans="1:17" x14ac:dyDescent="0.2">
      <c r="A8" s="4" t="s">
        <v>64</v>
      </c>
      <c r="B8" s="13">
        <v>120899760.39</v>
      </c>
      <c r="C8" s="13">
        <v>104519824.66</v>
      </c>
      <c r="D8" s="13">
        <v>16379935.730000004</v>
      </c>
      <c r="E8" s="13">
        <v>1213452.2</v>
      </c>
      <c r="F8" s="13">
        <v>3521015</v>
      </c>
      <c r="G8" s="14">
        <v>4.6500000000000004</v>
      </c>
      <c r="H8" s="14">
        <v>0.34</v>
      </c>
      <c r="I8" s="13">
        <v>101121.01666666666</v>
      </c>
      <c r="J8" s="15">
        <v>5</v>
      </c>
      <c r="K8" s="13">
        <v>15874330.64666667</v>
      </c>
      <c r="L8" s="13">
        <v>1867581.1460000009</v>
      </c>
      <c r="M8" s="13">
        <v>1515479.6460000009</v>
      </c>
      <c r="N8" s="197">
        <v>43831</v>
      </c>
      <c r="O8" s="16">
        <v>45658</v>
      </c>
      <c r="P8" s="13">
        <v>74762.38</v>
      </c>
      <c r="Q8" s="242" t="e">
        <v>#VALUE!</v>
      </c>
    </row>
    <row r="9" spans="1:17" x14ac:dyDescent="0.2">
      <c r="A9" s="4" t="s">
        <v>44</v>
      </c>
      <c r="B9" s="13">
        <v>493558716</v>
      </c>
      <c r="C9" s="13">
        <v>447722018.45999998</v>
      </c>
      <c r="D9" s="13">
        <v>45836697.540000021</v>
      </c>
      <c r="E9" s="13">
        <v>7559331.4500000002</v>
      </c>
      <c r="F9" s="13">
        <v>11038481</v>
      </c>
      <c r="G9" s="14">
        <v>4.1500000000000004</v>
      </c>
      <c r="H9" s="14">
        <v>0.68</v>
      </c>
      <c r="I9" s="13">
        <v>629944.28749999998</v>
      </c>
      <c r="J9" s="15">
        <v>5</v>
      </c>
      <c r="K9" s="13">
        <v>42686976.102500021</v>
      </c>
      <c r="L9" s="13">
        <v>4751947.1080000047</v>
      </c>
      <c r="M9" s="13">
        <v>3648099.0080000041</v>
      </c>
      <c r="N9" s="197">
        <v>43831</v>
      </c>
      <c r="O9" s="16">
        <v>45658</v>
      </c>
      <c r="P9" s="13">
        <v>606900.62</v>
      </c>
      <c r="Q9" s="242" t="e">
        <v>#VALUE!</v>
      </c>
    </row>
    <row r="10" spans="1:17" x14ac:dyDescent="0.2">
      <c r="A10" s="4" t="s">
        <v>36</v>
      </c>
      <c r="B10" s="13">
        <v>853256279</v>
      </c>
      <c r="C10" s="13">
        <v>778030839.34000003</v>
      </c>
      <c r="D10" s="13">
        <v>75225439.659999967</v>
      </c>
      <c r="E10" s="13">
        <v>18767228.010000002</v>
      </c>
      <c r="F10" s="13">
        <v>18836467</v>
      </c>
      <c r="G10" s="14">
        <v>3.99</v>
      </c>
      <c r="H10" s="14">
        <v>1</v>
      </c>
      <c r="I10" s="13">
        <v>1563935.6675000002</v>
      </c>
      <c r="J10" s="15">
        <v>2</v>
      </c>
      <c r="K10" s="13">
        <v>72097568.324999973</v>
      </c>
      <c r="L10" s="13">
        <v>18776252.829999983</v>
      </c>
      <c r="M10" s="13">
        <v>14067136.079999983</v>
      </c>
      <c r="N10" s="197">
        <v>43739</v>
      </c>
      <c r="O10" s="16">
        <v>45566</v>
      </c>
      <c r="P10" s="13">
        <v>2072070.83</v>
      </c>
      <c r="Q10" s="242" t="e">
        <v>#VALUE!</v>
      </c>
    </row>
    <row r="11" spans="1:17" x14ac:dyDescent="0.2">
      <c r="A11" s="4" t="s">
        <v>47</v>
      </c>
      <c r="B11" s="13">
        <v>187480557</v>
      </c>
      <c r="C11" s="13">
        <v>173584768.96000001</v>
      </c>
      <c r="D11" s="13">
        <v>13895788.039999992</v>
      </c>
      <c r="E11" s="13">
        <v>2604447.1800000002</v>
      </c>
      <c r="F11" s="13">
        <v>3515583</v>
      </c>
      <c r="G11" s="14">
        <v>3.95</v>
      </c>
      <c r="H11" s="14">
        <v>0.74</v>
      </c>
      <c r="I11" s="13">
        <v>217037.26500000001</v>
      </c>
      <c r="J11" s="15">
        <v>0</v>
      </c>
      <c r="K11" s="13">
        <v>13895788.039999992</v>
      </c>
      <c r="L11" s="13" t="s">
        <v>193</v>
      </c>
      <c r="M11" s="13" t="s">
        <v>193</v>
      </c>
      <c r="N11" s="197">
        <v>43647</v>
      </c>
      <c r="O11" s="16">
        <v>45474</v>
      </c>
      <c r="P11" s="13">
        <v>340530.55</v>
      </c>
      <c r="Q11" s="242" t="e">
        <v>#VALUE!</v>
      </c>
    </row>
    <row r="12" spans="1:17" x14ac:dyDescent="0.2">
      <c r="A12" s="4" t="s">
        <v>39</v>
      </c>
      <c r="B12" s="13">
        <v>265120500</v>
      </c>
      <c r="C12" s="13">
        <v>240833754.08000001</v>
      </c>
      <c r="D12" s="13">
        <v>24286745.919999987</v>
      </c>
      <c r="E12" s="13">
        <v>9352144.4900000002</v>
      </c>
      <c r="F12" s="13">
        <v>6172506</v>
      </c>
      <c r="G12" s="14">
        <v>3.93</v>
      </c>
      <c r="H12" s="14">
        <v>1.52</v>
      </c>
      <c r="I12" s="13">
        <v>779345.37416666665</v>
      </c>
      <c r="J12" s="15">
        <v>8</v>
      </c>
      <c r="K12" s="13">
        <v>18051982.926666655</v>
      </c>
      <c r="L12" s="13">
        <v>1492716.7399999984</v>
      </c>
      <c r="M12" s="13">
        <v>1106935.1149999984</v>
      </c>
      <c r="N12" s="197">
        <v>43922</v>
      </c>
      <c r="O12" s="16">
        <v>45748</v>
      </c>
      <c r="P12" s="13">
        <v>1062408.3400000001</v>
      </c>
      <c r="Q12" s="242" t="e">
        <v>#VALUE!</v>
      </c>
    </row>
    <row r="13" spans="1:17" x14ac:dyDescent="0.2">
      <c r="A13" s="4" t="s">
        <v>52</v>
      </c>
      <c r="B13" s="13">
        <v>1945106991</v>
      </c>
      <c r="C13" s="13">
        <v>1859223150.4100001</v>
      </c>
      <c r="D13" s="13">
        <v>85883840.589999914</v>
      </c>
      <c r="E13" s="13">
        <v>21582346.140000001</v>
      </c>
      <c r="F13" s="13">
        <v>22131554</v>
      </c>
      <c r="G13" s="14">
        <v>3.88</v>
      </c>
      <c r="H13" s="14">
        <v>0.98</v>
      </c>
      <c r="I13" s="13">
        <v>1798528.845</v>
      </c>
      <c r="J13" s="15">
        <v>0</v>
      </c>
      <c r="K13" s="13">
        <v>85883840.589999914</v>
      </c>
      <c r="L13" s="13" t="s">
        <v>193</v>
      </c>
      <c r="M13" s="13" t="s">
        <v>193</v>
      </c>
      <c r="N13" s="197">
        <v>43647</v>
      </c>
      <c r="O13" s="16">
        <v>45474</v>
      </c>
      <c r="P13" s="13">
        <v>4524120.1399999997</v>
      </c>
      <c r="Q13" s="242" t="e">
        <v>#VALUE!</v>
      </c>
    </row>
    <row r="14" spans="1:17" x14ac:dyDescent="0.2">
      <c r="A14" s="4" t="s">
        <v>30</v>
      </c>
      <c r="B14" s="13">
        <v>1168142277.4400001</v>
      </c>
      <c r="C14" s="13">
        <v>1067069617.45</v>
      </c>
      <c r="D14" s="13">
        <v>101072659.99000001</v>
      </c>
      <c r="E14" s="13">
        <v>17835563.620000001</v>
      </c>
      <c r="F14" s="13">
        <v>26355588</v>
      </c>
      <c r="G14" s="14">
        <v>3.83</v>
      </c>
      <c r="H14" s="14">
        <v>0.68</v>
      </c>
      <c r="I14" s="13">
        <v>1486296.9683333335</v>
      </c>
      <c r="J14" s="15">
        <v>0</v>
      </c>
      <c r="K14" s="13">
        <v>101072659.99000001</v>
      </c>
      <c r="L14" s="13" t="s">
        <v>193</v>
      </c>
      <c r="M14" s="13" t="s">
        <v>193</v>
      </c>
      <c r="N14" s="197">
        <v>43647</v>
      </c>
      <c r="O14" s="16">
        <v>45474</v>
      </c>
      <c r="P14" s="13">
        <v>3143867.66</v>
      </c>
      <c r="Q14" s="242" t="e">
        <v>#VALUE!</v>
      </c>
    </row>
    <row r="15" spans="1:17" x14ac:dyDescent="0.2">
      <c r="A15" s="4" t="s">
        <v>53</v>
      </c>
      <c r="B15" s="13">
        <v>203184695.25999999</v>
      </c>
      <c r="C15" s="13">
        <v>181660751.63999999</v>
      </c>
      <c r="D15" s="13">
        <v>21523943.620000005</v>
      </c>
      <c r="E15" s="13">
        <v>6319892.5800000001</v>
      </c>
      <c r="F15" s="13">
        <v>5655134</v>
      </c>
      <c r="G15" s="14">
        <v>3.81</v>
      </c>
      <c r="H15" s="14">
        <v>1.1200000000000001</v>
      </c>
      <c r="I15" s="13">
        <v>526657.71499999997</v>
      </c>
      <c r="J15" s="15">
        <v>0</v>
      </c>
      <c r="K15" s="13">
        <v>21523943.620000005</v>
      </c>
      <c r="L15" s="13" t="s">
        <v>193</v>
      </c>
      <c r="M15" s="13" t="s">
        <v>193</v>
      </c>
      <c r="N15" s="197">
        <v>43647</v>
      </c>
      <c r="O15" s="16">
        <v>45474</v>
      </c>
      <c r="P15" s="13">
        <v>1896221.82</v>
      </c>
      <c r="Q15" s="242" t="e">
        <v>#VALUE!</v>
      </c>
    </row>
    <row r="16" spans="1:17" x14ac:dyDescent="0.2">
      <c r="A16" s="4" t="s">
        <v>60</v>
      </c>
      <c r="B16" s="13">
        <v>794219275</v>
      </c>
      <c r="C16" s="13">
        <v>723790252.72000003</v>
      </c>
      <c r="D16" s="13">
        <v>70429022.279999971</v>
      </c>
      <c r="E16" s="13">
        <v>14860268.67</v>
      </c>
      <c r="F16" s="13">
        <v>19107637</v>
      </c>
      <c r="G16" s="14">
        <v>3.69</v>
      </c>
      <c r="H16" s="14">
        <v>0.78</v>
      </c>
      <c r="I16" s="13">
        <v>1238355.7224999999</v>
      </c>
      <c r="J16" s="15">
        <v>0</v>
      </c>
      <c r="K16" s="13">
        <v>70429022.279999971</v>
      </c>
      <c r="L16" s="13" t="s">
        <v>193</v>
      </c>
      <c r="M16" s="13" t="s">
        <v>193</v>
      </c>
      <c r="N16" s="197">
        <v>43647</v>
      </c>
      <c r="O16" s="16">
        <v>45474</v>
      </c>
      <c r="P16" s="13">
        <v>2191513.42</v>
      </c>
      <c r="Q16" s="242" t="e">
        <v>#VALUE!</v>
      </c>
    </row>
    <row r="17" spans="1:17" x14ac:dyDescent="0.2">
      <c r="A17" s="4" t="s">
        <v>19</v>
      </c>
      <c r="B17" s="13">
        <v>1438428739.9100001</v>
      </c>
      <c r="C17" s="13">
        <v>1327869821.0899999</v>
      </c>
      <c r="D17" s="13">
        <v>110558918.82000017</v>
      </c>
      <c r="E17" s="13">
        <v>28321728.850000001</v>
      </c>
      <c r="F17" s="13">
        <v>30065955</v>
      </c>
      <c r="G17" s="14">
        <v>3.68</v>
      </c>
      <c r="H17" s="14">
        <v>0.94</v>
      </c>
      <c r="I17" s="13">
        <v>2360144.0708333333</v>
      </c>
      <c r="J17" s="15">
        <v>0</v>
      </c>
      <c r="K17" s="13">
        <v>110558918.82000017</v>
      </c>
      <c r="L17" s="13" t="s">
        <v>193</v>
      </c>
      <c r="M17" s="13" t="s">
        <v>193</v>
      </c>
      <c r="N17" s="197">
        <v>43647</v>
      </c>
      <c r="O17" s="16">
        <v>45474</v>
      </c>
      <c r="P17" s="13">
        <v>4481298.0599999996</v>
      </c>
      <c r="Q17" s="242" t="e">
        <v>#VALUE!</v>
      </c>
    </row>
    <row r="18" spans="1:17" x14ac:dyDescent="0.2">
      <c r="A18" s="4" t="s">
        <v>40</v>
      </c>
      <c r="B18" s="13">
        <v>500565228.91000003</v>
      </c>
      <c r="C18" s="13">
        <v>461983737.69999999</v>
      </c>
      <c r="D18" s="13">
        <v>38581491.210000038</v>
      </c>
      <c r="E18" s="13">
        <v>5750692.3399999999</v>
      </c>
      <c r="F18" s="13">
        <v>10539100</v>
      </c>
      <c r="G18" s="14">
        <v>3.66</v>
      </c>
      <c r="H18" s="14">
        <v>0.55000000000000004</v>
      </c>
      <c r="I18" s="13">
        <v>479224.36166666663</v>
      </c>
      <c r="J18" s="15">
        <v>0</v>
      </c>
      <c r="K18" s="13">
        <v>38581491.210000038</v>
      </c>
      <c r="L18" s="13" t="s">
        <v>193</v>
      </c>
      <c r="M18" s="13" t="s">
        <v>193</v>
      </c>
      <c r="N18" s="197">
        <v>43647</v>
      </c>
      <c r="O18" s="16">
        <v>45474</v>
      </c>
      <c r="P18" s="13">
        <v>852146.5</v>
      </c>
      <c r="Q18" s="242" t="e">
        <v>#VALUE!</v>
      </c>
    </row>
    <row r="19" spans="1:17" x14ac:dyDescent="0.2">
      <c r="A19" s="4" t="s">
        <v>54</v>
      </c>
      <c r="B19" s="13">
        <v>1022430792.45</v>
      </c>
      <c r="C19" s="13">
        <v>952846671.03999996</v>
      </c>
      <c r="D19" s="13">
        <v>69584121.410000086</v>
      </c>
      <c r="E19" s="13">
        <v>25436439.18</v>
      </c>
      <c r="F19" s="13">
        <v>19809810</v>
      </c>
      <c r="G19" s="14">
        <v>3.51</v>
      </c>
      <c r="H19" s="14">
        <v>1.28</v>
      </c>
      <c r="I19" s="13">
        <v>2119703.2650000001</v>
      </c>
      <c r="J19" s="15">
        <v>8</v>
      </c>
      <c r="K19" s="13">
        <v>52626495.290000081</v>
      </c>
      <c r="L19" s="13">
        <v>3745562.6762500107</v>
      </c>
      <c r="M19" s="13">
        <v>2507449.5512500107</v>
      </c>
      <c r="N19" s="197">
        <v>43922</v>
      </c>
      <c r="O19" s="16">
        <v>45748</v>
      </c>
      <c r="P19" s="13">
        <v>3121842</v>
      </c>
      <c r="Q19" s="242" t="e">
        <v>#VALUE!</v>
      </c>
    </row>
    <row r="20" spans="1:17" x14ac:dyDescent="0.2">
      <c r="A20" s="4" t="s">
        <v>18</v>
      </c>
      <c r="B20" s="13">
        <v>800464324.92999995</v>
      </c>
      <c r="C20" s="13">
        <v>739282258.87</v>
      </c>
      <c r="D20" s="13">
        <v>61182066.059999943</v>
      </c>
      <c r="E20" s="13">
        <v>24022277.789999999</v>
      </c>
      <c r="F20" s="13">
        <v>17480755</v>
      </c>
      <c r="G20" s="14">
        <v>3.5</v>
      </c>
      <c r="H20" s="14">
        <v>1.37</v>
      </c>
      <c r="I20" s="13">
        <v>2001856.4824999999</v>
      </c>
      <c r="J20" s="15">
        <v>0</v>
      </c>
      <c r="K20" s="13">
        <v>61182066.059999943</v>
      </c>
      <c r="L20" s="13" t="s">
        <v>193</v>
      </c>
      <c r="M20" s="13" t="s">
        <v>193</v>
      </c>
      <c r="N20" s="197">
        <v>43647</v>
      </c>
      <c r="O20" s="16">
        <v>45474</v>
      </c>
      <c r="P20" s="13">
        <v>5243579.16</v>
      </c>
      <c r="Q20" s="242" t="e">
        <v>#VALUE!</v>
      </c>
    </row>
    <row r="21" spans="1:17" x14ac:dyDescent="0.2">
      <c r="A21" s="4" t="s">
        <v>43</v>
      </c>
      <c r="B21" s="13">
        <v>300551063.33999997</v>
      </c>
      <c r="C21" s="13">
        <v>277963843.45999998</v>
      </c>
      <c r="D21" s="13">
        <v>22587219.879999995</v>
      </c>
      <c r="E21" s="13">
        <v>10645294.960000001</v>
      </c>
      <c r="F21" s="13">
        <v>6730317</v>
      </c>
      <c r="G21" s="14">
        <v>3.36</v>
      </c>
      <c r="H21" s="14">
        <v>1.58</v>
      </c>
      <c r="I21" s="13">
        <v>887107.91333333345</v>
      </c>
      <c r="J21" s="15">
        <v>0</v>
      </c>
      <c r="K21" s="13">
        <v>22587219.879999995</v>
      </c>
      <c r="L21" s="13" t="s">
        <v>193</v>
      </c>
      <c r="M21" s="13" t="s">
        <v>193</v>
      </c>
      <c r="N21" s="197">
        <v>43647</v>
      </c>
      <c r="O21" s="16">
        <v>45474</v>
      </c>
      <c r="P21" s="13">
        <v>258743.51</v>
      </c>
      <c r="Q21" s="242" t="e">
        <v>#VALUE!</v>
      </c>
    </row>
    <row r="22" spans="1:17" x14ac:dyDescent="0.2">
      <c r="A22" s="4" t="s">
        <v>16</v>
      </c>
      <c r="B22" s="13">
        <v>104394118</v>
      </c>
      <c r="C22" s="13">
        <v>95605785.859999999</v>
      </c>
      <c r="D22" s="13">
        <v>8788332.1400000006</v>
      </c>
      <c r="E22" s="13">
        <v>1636844.77</v>
      </c>
      <c r="F22" s="13">
        <v>2677355</v>
      </c>
      <c r="G22" s="14">
        <v>3.28</v>
      </c>
      <c r="H22" s="14">
        <v>0.61</v>
      </c>
      <c r="I22" s="13">
        <v>136403.73083333333</v>
      </c>
      <c r="J22" s="15">
        <v>0</v>
      </c>
      <c r="K22" s="13">
        <v>8788332.1400000006</v>
      </c>
      <c r="L22" s="13" t="s">
        <v>193</v>
      </c>
      <c r="M22" s="13" t="s">
        <v>193</v>
      </c>
      <c r="N22" s="197">
        <v>43647</v>
      </c>
      <c r="O22" s="16">
        <v>45474</v>
      </c>
      <c r="P22" s="13">
        <v>286062.01</v>
      </c>
      <c r="Q22" s="242" t="e">
        <v>#VALUE!</v>
      </c>
    </row>
    <row r="23" spans="1:17" x14ac:dyDescent="0.2">
      <c r="A23" s="4" t="s">
        <v>55</v>
      </c>
      <c r="B23" s="13">
        <v>254239457</v>
      </c>
      <c r="C23" s="13">
        <v>235726482.37</v>
      </c>
      <c r="D23" s="13">
        <v>18512974.629999995</v>
      </c>
      <c r="E23" s="13">
        <v>4473934.0599999996</v>
      </c>
      <c r="F23" s="13">
        <v>5680880</v>
      </c>
      <c r="G23" s="14">
        <v>3.26</v>
      </c>
      <c r="H23" s="14">
        <v>0.79</v>
      </c>
      <c r="I23" s="13">
        <v>372827.83833333332</v>
      </c>
      <c r="J23" s="15">
        <v>5</v>
      </c>
      <c r="K23" s="13">
        <v>16648835.438333329</v>
      </c>
      <c r="L23" s="13">
        <v>1430242.925999999</v>
      </c>
      <c r="M23" s="13">
        <v>862154.92599999905</v>
      </c>
      <c r="N23" s="197">
        <v>43831</v>
      </c>
      <c r="O23" s="16">
        <v>45658</v>
      </c>
      <c r="P23" s="13">
        <v>344154.89</v>
      </c>
      <c r="Q23" s="242" t="e">
        <v>#VALUE!</v>
      </c>
    </row>
    <row r="24" spans="1:17" x14ac:dyDescent="0.2">
      <c r="A24" s="4" t="s">
        <v>38</v>
      </c>
      <c r="B24" s="13">
        <v>1010324720</v>
      </c>
      <c r="C24" s="13">
        <v>935536945.97000003</v>
      </c>
      <c r="D24" s="13">
        <v>74787774.029999971</v>
      </c>
      <c r="E24" s="13">
        <v>28993922.739999998</v>
      </c>
      <c r="F24" s="13">
        <v>23059848</v>
      </c>
      <c r="G24" s="14">
        <v>3.24</v>
      </c>
      <c r="H24" s="14">
        <v>1.26</v>
      </c>
      <c r="I24" s="13">
        <v>2416160.228333333</v>
      </c>
      <c r="J24" s="15">
        <v>8</v>
      </c>
      <c r="K24" s="13">
        <v>55458492.203333303</v>
      </c>
      <c r="L24" s="13">
        <v>3583509.7537499964</v>
      </c>
      <c r="M24" s="13" t="s">
        <v>192</v>
      </c>
      <c r="N24" s="197">
        <v>43922</v>
      </c>
      <c r="O24" s="16">
        <v>45748</v>
      </c>
      <c r="P24" s="13">
        <v>2227616.5299999998</v>
      </c>
      <c r="Q24" s="242" t="e">
        <v>#VALUE!</v>
      </c>
    </row>
    <row r="25" spans="1:17" x14ac:dyDescent="0.2">
      <c r="A25" s="4" t="s">
        <v>51</v>
      </c>
      <c r="B25" s="13">
        <v>2001064841.29</v>
      </c>
      <c r="C25" s="13">
        <v>1878237953.6500001</v>
      </c>
      <c r="D25" s="13">
        <v>122826887.63999987</v>
      </c>
      <c r="E25" s="13">
        <v>37911895.439999998</v>
      </c>
      <c r="F25" s="13">
        <v>40779947</v>
      </c>
      <c r="G25" s="14">
        <v>3.01</v>
      </c>
      <c r="H25" s="14">
        <v>0.93</v>
      </c>
      <c r="I25" s="13">
        <v>3159324.6199999996</v>
      </c>
      <c r="J25" s="15">
        <v>5</v>
      </c>
      <c r="K25" s="13">
        <v>107030264.53999987</v>
      </c>
      <c r="L25" s="13">
        <v>8253398.7279999731</v>
      </c>
      <c r="M25" s="13">
        <v>4175404.0279999734</v>
      </c>
      <c r="N25" s="197">
        <v>43831</v>
      </c>
      <c r="O25" s="16">
        <v>45658</v>
      </c>
      <c r="P25" s="13">
        <v>4294538.03</v>
      </c>
      <c r="Q25" s="242" t="e">
        <v>#VALUE!</v>
      </c>
    </row>
    <row r="26" spans="1:17" x14ac:dyDescent="0.2">
      <c r="A26" s="4" t="s">
        <v>28</v>
      </c>
      <c r="B26" s="13">
        <v>1059732308</v>
      </c>
      <c r="C26" s="13">
        <v>989190653.25999999</v>
      </c>
      <c r="D26" s="13">
        <v>70541654.74000001</v>
      </c>
      <c r="E26" s="13">
        <v>19270478.609999999</v>
      </c>
      <c r="F26" s="13">
        <v>24168777</v>
      </c>
      <c r="G26" s="14">
        <v>2.92</v>
      </c>
      <c r="H26" s="14">
        <v>0.8</v>
      </c>
      <c r="I26" s="13">
        <v>1605873.2175</v>
      </c>
      <c r="J26" s="15">
        <v>5</v>
      </c>
      <c r="K26" s="13">
        <v>62512288.652500011</v>
      </c>
      <c r="L26" s="13">
        <v>4440820.1480000019</v>
      </c>
      <c r="M26" s="13">
        <v>2023942.448000002</v>
      </c>
      <c r="N26" s="197">
        <v>43831</v>
      </c>
      <c r="O26" s="16">
        <v>45658</v>
      </c>
      <c r="P26" s="13">
        <v>3987153.81</v>
      </c>
      <c r="Q26" s="242" t="e">
        <v>#VALUE!</v>
      </c>
    </row>
    <row r="27" spans="1:17" x14ac:dyDescent="0.2">
      <c r="A27" s="4" t="s">
        <v>45</v>
      </c>
      <c r="B27" s="13">
        <v>1228777673.53</v>
      </c>
      <c r="C27" s="13">
        <v>1089989289.7</v>
      </c>
      <c r="D27" s="13">
        <v>138788383.82999992</v>
      </c>
      <c r="E27" s="13">
        <v>49901913.840000004</v>
      </c>
      <c r="F27" s="13">
        <v>47456120</v>
      </c>
      <c r="G27" s="14">
        <v>2.92</v>
      </c>
      <c r="H27" s="14">
        <v>1.05</v>
      </c>
      <c r="I27" s="13">
        <v>4158492.8200000003</v>
      </c>
      <c r="J27" s="15">
        <v>5</v>
      </c>
      <c r="K27" s="13">
        <v>117995919.72999993</v>
      </c>
      <c r="L27" s="13">
        <v>8775228.765999984</v>
      </c>
      <c r="M27" s="13" t="s">
        <v>192</v>
      </c>
      <c r="N27" s="197">
        <v>43831</v>
      </c>
      <c r="O27" s="16">
        <v>45658</v>
      </c>
      <c r="P27" s="13">
        <v>4784226.54</v>
      </c>
      <c r="Q27" s="242" t="e">
        <v>#VALUE!</v>
      </c>
    </row>
    <row r="28" spans="1:17" x14ac:dyDescent="0.2">
      <c r="A28" s="4" t="s">
        <v>37</v>
      </c>
      <c r="B28" s="13">
        <v>1239472339.1700001</v>
      </c>
      <c r="C28" s="13">
        <v>1170697406.03</v>
      </c>
      <c r="D28" s="13">
        <v>68774933.140000105</v>
      </c>
      <c r="E28" s="13">
        <v>21741707.77</v>
      </c>
      <c r="F28" s="13">
        <v>24088947</v>
      </c>
      <c r="G28" s="14">
        <v>2.86</v>
      </c>
      <c r="H28" s="14">
        <v>0.9</v>
      </c>
      <c r="I28" s="13">
        <v>1811808.9808333332</v>
      </c>
      <c r="J28" s="15">
        <v>0</v>
      </c>
      <c r="K28" s="13">
        <v>68774933.140000105</v>
      </c>
      <c r="L28" s="13" t="s">
        <v>193</v>
      </c>
      <c r="M28" s="13" t="s">
        <v>193</v>
      </c>
      <c r="N28" s="197">
        <v>43647</v>
      </c>
      <c r="O28" s="16">
        <v>45474</v>
      </c>
      <c r="P28" s="13">
        <v>2096703.49</v>
      </c>
      <c r="Q28" s="242" t="e">
        <v>#VALUE!</v>
      </c>
    </row>
    <row r="29" spans="1:17" x14ac:dyDescent="0.2">
      <c r="A29" s="4" t="s">
        <v>24</v>
      </c>
      <c r="B29" s="13">
        <v>1642297566.0699999</v>
      </c>
      <c r="C29" s="13">
        <v>1527177981.8</v>
      </c>
      <c r="D29" s="13">
        <v>115119584.26999998</v>
      </c>
      <c r="E29" s="13">
        <v>35358889.07</v>
      </c>
      <c r="F29" s="13">
        <v>40984884</v>
      </c>
      <c r="G29" s="14">
        <v>2.81</v>
      </c>
      <c r="H29" s="14">
        <v>0.86</v>
      </c>
      <c r="I29" s="13">
        <v>2946574.0891666668</v>
      </c>
      <c r="J29" s="15">
        <v>0</v>
      </c>
      <c r="K29" s="13">
        <v>115119584.26999998</v>
      </c>
      <c r="L29" s="13" t="s">
        <v>193</v>
      </c>
      <c r="M29" s="13" t="s">
        <v>193</v>
      </c>
      <c r="N29" s="197">
        <v>43647</v>
      </c>
      <c r="O29" s="16">
        <v>45474</v>
      </c>
      <c r="P29" s="13">
        <v>5211854.93</v>
      </c>
      <c r="Q29" s="242" t="e">
        <v>#VALUE!</v>
      </c>
    </row>
    <row r="30" spans="1:17" x14ac:dyDescent="0.2">
      <c r="A30" s="4" t="s">
        <v>33</v>
      </c>
      <c r="B30" s="13">
        <v>314446387.48000002</v>
      </c>
      <c r="C30" s="13">
        <v>291089659.38999999</v>
      </c>
      <c r="D30" s="13">
        <v>23356728.090000033</v>
      </c>
      <c r="E30" s="13">
        <v>8843373.0600000005</v>
      </c>
      <c r="F30" s="13">
        <v>8369791</v>
      </c>
      <c r="G30" s="14">
        <v>2.79</v>
      </c>
      <c r="H30" s="14">
        <v>1.06</v>
      </c>
      <c r="I30" s="13">
        <v>736947.755</v>
      </c>
      <c r="J30" s="15">
        <v>0</v>
      </c>
      <c r="K30" s="13">
        <v>23356728.090000033</v>
      </c>
      <c r="L30" s="13" t="s">
        <v>193</v>
      </c>
      <c r="M30" s="13" t="s">
        <v>193</v>
      </c>
      <c r="N30" s="197">
        <v>43647</v>
      </c>
      <c r="O30" s="16">
        <v>45474</v>
      </c>
      <c r="P30" s="13">
        <v>1625751.76</v>
      </c>
      <c r="Q30" s="242" t="e">
        <v>#VALUE!</v>
      </c>
    </row>
    <row r="31" spans="1:17" x14ac:dyDescent="0.2">
      <c r="A31" s="4" t="s">
        <v>20</v>
      </c>
      <c r="B31" s="13">
        <v>392634217.93000001</v>
      </c>
      <c r="C31" s="13">
        <v>366852172.00999999</v>
      </c>
      <c r="D31" s="13">
        <v>25782045.920000017</v>
      </c>
      <c r="E31" s="13">
        <v>15461438.050000001</v>
      </c>
      <c r="F31" s="13">
        <v>9305817</v>
      </c>
      <c r="G31" s="14">
        <v>2.77</v>
      </c>
      <c r="H31" s="14">
        <v>1.66</v>
      </c>
      <c r="I31" s="13">
        <v>1288453.1708333334</v>
      </c>
      <c r="J31" s="15">
        <v>8</v>
      </c>
      <c r="K31" s="13">
        <v>15474420.55333335</v>
      </c>
      <c r="L31" s="13" t="s">
        <v>192</v>
      </c>
      <c r="M31" s="13" t="s">
        <v>192</v>
      </c>
      <c r="N31" s="197">
        <v>43556</v>
      </c>
      <c r="O31" s="16">
        <v>45748</v>
      </c>
      <c r="P31" s="13">
        <v>462350.98</v>
      </c>
      <c r="Q31" s="242" t="e">
        <v>#VALUE!</v>
      </c>
    </row>
    <row r="32" spans="1:17" x14ac:dyDescent="0.2">
      <c r="A32" s="4" t="s">
        <v>29</v>
      </c>
      <c r="B32" s="13">
        <v>675052951</v>
      </c>
      <c r="C32" s="13">
        <v>634171028.24000001</v>
      </c>
      <c r="D32" s="13">
        <v>40881922.75999999</v>
      </c>
      <c r="E32" s="13">
        <v>9666488.5999999996</v>
      </c>
      <c r="F32" s="13">
        <v>14786581</v>
      </c>
      <c r="G32" s="14">
        <v>2.76</v>
      </c>
      <c r="H32" s="14">
        <v>0.65</v>
      </c>
      <c r="I32" s="13">
        <v>805540.71666666667</v>
      </c>
      <c r="J32" s="15">
        <v>5</v>
      </c>
      <c r="K32" s="13">
        <v>36854219.176666655</v>
      </c>
      <c r="L32" s="13">
        <v>2261752.1519999979</v>
      </c>
      <c r="M32" s="13" t="s">
        <v>192</v>
      </c>
      <c r="N32" s="197">
        <v>43466</v>
      </c>
      <c r="O32" s="16">
        <v>45658</v>
      </c>
      <c r="P32" s="13">
        <v>978427.03</v>
      </c>
      <c r="Q32" s="242" t="e">
        <v>#VALUE!</v>
      </c>
    </row>
    <row r="33" spans="1:17" x14ac:dyDescent="0.2">
      <c r="A33" s="4" t="s">
        <v>21</v>
      </c>
      <c r="B33" s="13">
        <v>528328839.02999997</v>
      </c>
      <c r="C33" s="13">
        <v>490180864.73000002</v>
      </c>
      <c r="D33" s="13">
        <v>38147974.299999952</v>
      </c>
      <c r="E33" s="13">
        <v>18566202.489999998</v>
      </c>
      <c r="F33" s="13">
        <v>13880022</v>
      </c>
      <c r="G33" s="14">
        <v>2.75</v>
      </c>
      <c r="H33" s="14">
        <v>1.34</v>
      </c>
      <c r="I33" s="13">
        <v>1547183.5408333333</v>
      </c>
      <c r="J33" s="15">
        <v>0</v>
      </c>
      <c r="K33" s="13">
        <v>38147974.299999952</v>
      </c>
      <c r="L33" s="13" t="s">
        <v>193</v>
      </c>
      <c r="M33" s="13" t="s">
        <v>193</v>
      </c>
      <c r="N33" s="197">
        <v>43647</v>
      </c>
      <c r="O33" s="16">
        <v>45474</v>
      </c>
      <c r="P33" s="13">
        <v>0</v>
      </c>
      <c r="Q33" s="242" t="e">
        <v>#VALUE!</v>
      </c>
    </row>
    <row r="34" spans="1:17" x14ac:dyDescent="0.2">
      <c r="A34" s="4" t="s">
        <v>56</v>
      </c>
      <c r="B34" s="13">
        <v>1154905413</v>
      </c>
      <c r="C34" s="13">
        <v>1083105598.55</v>
      </c>
      <c r="D34" s="13">
        <v>71799814.450000048</v>
      </c>
      <c r="E34" s="13">
        <v>20888839.829999998</v>
      </c>
      <c r="F34" s="13">
        <v>27571438</v>
      </c>
      <c r="G34" s="14">
        <v>2.6</v>
      </c>
      <c r="H34" s="14">
        <v>0.76</v>
      </c>
      <c r="I34" s="13">
        <v>1740736.6524999999</v>
      </c>
      <c r="J34" s="15">
        <v>0</v>
      </c>
      <c r="K34" s="13">
        <v>71799814.450000048</v>
      </c>
      <c r="L34" s="13" t="s">
        <v>193</v>
      </c>
      <c r="M34" s="13" t="s">
        <v>193</v>
      </c>
      <c r="N34" s="197">
        <v>43647</v>
      </c>
      <c r="O34" s="16">
        <v>45474</v>
      </c>
      <c r="P34" s="13">
        <v>3713523.35</v>
      </c>
      <c r="Q34" s="242" t="e">
        <v>#VALUE!</v>
      </c>
    </row>
    <row r="35" spans="1:17" x14ac:dyDescent="0.2">
      <c r="A35" s="4" t="s">
        <v>42</v>
      </c>
      <c r="B35" s="13">
        <v>346058940</v>
      </c>
      <c r="C35" s="13">
        <v>322896290.56</v>
      </c>
      <c r="D35" s="13">
        <v>23162649.439999998</v>
      </c>
      <c r="E35" s="13">
        <v>5222195.37</v>
      </c>
      <c r="F35" s="13">
        <v>9353201</v>
      </c>
      <c r="G35" s="14">
        <v>2.48</v>
      </c>
      <c r="H35" s="14">
        <v>0.56000000000000005</v>
      </c>
      <c r="I35" s="13">
        <v>435182.94750000001</v>
      </c>
      <c r="J35" s="15">
        <v>5</v>
      </c>
      <c r="K35" s="13">
        <v>20986734.702499997</v>
      </c>
      <c r="L35" s="13">
        <v>891249.48799999955</v>
      </c>
      <c r="M35" s="13" t="s">
        <v>192</v>
      </c>
      <c r="N35" s="197">
        <v>43831</v>
      </c>
      <c r="O35" s="16">
        <v>45658</v>
      </c>
      <c r="P35" s="13">
        <v>991191.76</v>
      </c>
      <c r="Q35" s="242" t="e">
        <v>#VALUE!</v>
      </c>
    </row>
    <row r="36" spans="1:17" x14ac:dyDescent="0.2">
      <c r="A36" s="4" t="s">
        <v>61</v>
      </c>
      <c r="B36" s="13">
        <v>522049097</v>
      </c>
      <c r="C36" s="13">
        <v>490860801.89999998</v>
      </c>
      <c r="D36" s="13">
        <v>31188295.100000024</v>
      </c>
      <c r="E36" s="13">
        <v>14349248.710000001</v>
      </c>
      <c r="F36" s="13">
        <v>13105608</v>
      </c>
      <c r="G36" s="14">
        <v>2.38</v>
      </c>
      <c r="H36" s="14">
        <v>1.0900000000000001</v>
      </c>
      <c r="I36" s="13">
        <v>1195770.7258333333</v>
      </c>
      <c r="J36" s="15">
        <v>0</v>
      </c>
      <c r="K36" s="13">
        <v>31188295.100000024</v>
      </c>
      <c r="L36" s="13" t="s">
        <v>193</v>
      </c>
      <c r="M36" s="13" t="s">
        <v>192</v>
      </c>
      <c r="N36" s="197">
        <v>43647</v>
      </c>
      <c r="O36" s="16">
        <v>45474</v>
      </c>
      <c r="P36" s="13">
        <v>1768746.27</v>
      </c>
      <c r="Q36" s="242" t="e">
        <v>#VALUE!</v>
      </c>
    </row>
    <row r="37" spans="1:17" x14ac:dyDescent="0.2">
      <c r="A37" s="4" t="s">
        <v>50</v>
      </c>
      <c r="B37" s="13">
        <v>545409679.30999994</v>
      </c>
      <c r="C37" s="13">
        <v>517912006.19</v>
      </c>
      <c r="D37" s="13">
        <v>27497673.119999945</v>
      </c>
      <c r="E37" s="13">
        <v>15810034.880000001</v>
      </c>
      <c r="F37" s="13">
        <v>11656242</v>
      </c>
      <c r="G37" s="14">
        <v>2.36</v>
      </c>
      <c r="H37" s="14">
        <v>1.36</v>
      </c>
      <c r="I37" s="13">
        <v>1317502.9066666667</v>
      </c>
      <c r="J37" s="15">
        <v>5</v>
      </c>
      <c r="K37" s="13">
        <v>20910158.586666614</v>
      </c>
      <c r="L37" s="13" t="s">
        <v>192</v>
      </c>
      <c r="M37" s="13" t="s">
        <v>192</v>
      </c>
      <c r="N37" s="197">
        <v>43831</v>
      </c>
      <c r="O37" s="16">
        <v>45658</v>
      </c>
      <c r="P37" s="13">
        <v>2273760.88</v>
      </c>
      <c r="Q37" s="242" t="e">
        <v>#VALUE!</v>
      </c>
    </row>
    <row r="38" spans="1:17" x14ac:dyDescent="0.2">
      <c r="A38" s="4" t="s">
        <v>57</v>
      </c>
      <c r="B38" s="13">
        <v>2879313105.54</v>
      </c>
      <c r="C38" s="13">
        <v>2712527264.0300002</v>
      </c>
      <c r="D38" s="13">
        <v>166785841.50999975</v>
      </c>
      <c r="E38" s="13">
        <v>75485181.120000005</v>
      </c>
      <c r="F38" s="13">
        <v>70613641</v>
      </c>
      <c r="G38" s="14">
        <v>2.36</v>
      </c>
      <c r="H38" s="14">
        <v>1.07</v>
      </c>
      <c r="I38" s="13">
        <v>6290431.7600000007</v>
      </c>
      <c r="J38" s="15">
        <v>1</v>
      </c>
      <c r="K38" s="13">
        <v>160495409.74999976</v>
      </c>
      <c r="L38" s="13">
        <v>25558559.509999752</v>
      </c>
      <c r="M38" s="13" t="s">
        <v>192</v>
      </c>
      <c r="N38" s="197">
        <v>44075</v>
      </c>
      <c r="O38" s="16">
        <v>45536</v>
      </c>
      <c r="P38" s="13">
        <v>13896799.560000001</v>
      </c>
      <c r="Q38" s="242" t="e">
        <v>#VALUE!</v>
      </c>
    </row>
    <row r="39" spans="1:17" x14ac:dyDescent="0.2">
      <c r="A39" s="4" t="s">
        <v>15</v>
      </c>
      <c r="B39" s="13">
        <v>1085275104.5</v>
      </c>
      <c r="C39" s="13">
        <v>1033644591.78</v>
      </c>
      <c r="D39" s="13">
        <v>51630512.720000029</v>
      </c>
      <c r="E39" s="13">
        <v>21958926.690000001</v>
      </c>
      <c r="F39" s="13">
        <v>22858857</v>
      </c>
      <c r="G39" s="14">
        <v>2.2599999999999998</v>
      </c>
      <c r="H39" s="14">
        <v>0.96</v>
      </c>
      <c r="I39" s="13">
        <v>1829910.5575000001</v>
      </c>
      <c r="J39" s="15">
        <v>8</v>
      </c>
      <c r="K39" s="13">
        <v>36991228.260000028</v>
      </c>
      <c r="L39" s="13" t="s">
        <v>192</v>
      </c>
      <c r="M39" s="13" t="s">
        <v>192</v>
      </c>
      <c r="N39" s="197">
        <v>43556</v>
      </c>
      <c r="O39" s="16">
        <v>45748</v>
      </c>
      <c r="P39" s="13">
        <v>4862206.78</v>
      </c>
      <c r="Q39" s="242" t="e">
        <v>#VALUE!</v>
      </c>
    </row>
    <row r="40" spans="1:17" x14ac:dyDescent="0.2">
      <c r="A40" s="4" t="s">
        <v>34</v>
      </c>
      <c r="B40" s="13">
        <v>1394382977.99</v>
      </c>
      <c r="C40" s="13">
        <v>1315441010.5599999</v>
      </c>
      <c r="D40" s="13">
        <v>78941967.430000067</v>
      </c>
      <c r="E40" s="13">
        <v>39862752.700000003</v>
      </c>
      <c r="F40" s="13">
        <v>34869850</v>
      </c>
      <c r="G40" s="14">
        <v>2.2599999999999998</v>
      </c>
      <c r="H40" s="14">
        <v>1.1399999999999999</v>
      </c>
      <c r="I40" s="13">
        <v>3321896.0583333336</v>
      </c>
      <c r="J40" s="15">
        <v>8</v>
      </c>
      <c r="K40" s="13">
        <v>52366798.963333398</v>
      </c>
      <c r="L40" s="13" t="s">
        <v>192</v>
      </c>
      <c r="M40" s="13" t="s">
        <v>192</v>
      </c>
      <c r="N40" s="197">
        <v>43922</v>
      </c>
      <c r="O40" s="16">
        <v>45748</v>
      </c>
      <c r="P40" s="13">
        <v>7363245.0499999998</v>
      </c>
      <c r="Q40" s="242" t="e">
        <v>#VALUE!</v>
      </c>
    </row>
    <row r="41" spans="1:17" x14ac:dyDescent="0.2">
      <c r="A41" s="4" t="s">
        <v>25</v>
      </c>
      <c r="B41" s="13">
        <v>342887810.45999998</v>
      </c>
      <c r="C41" s="13">
        <v>324512478.30000001</v>
      </c>
      <c r="D41" s="13">
        <v>18375332.159999967</v>
      </c>
      <c r="E41" s="13">
        <v>8032987.0199999996</v>
      </c>
      <c r="F41" s="13">
        <v>8236180</v>
      </c>
      <c r="G41" s="14">
        <v>2.23</v>
      </c>
      <c r="H41" s="14">
        <v>0.98</v>
      </c>
      <c r="I41" s="13">
        <v>669415.58499999996</v>
      </c>
      <c r="J41" s="15">
        <v>8</v>
      </c>
      <c r="K41" s="13">
        <v>13020007.479999967</v>
      </c>
      <c r="L41" s="13" t="s">
        <v>192</v>
      </c>
      <c r="M41" s="13" t="s">
        <v>192</v>
      </c>
      <c r="N41" s="197">
        <v>43556</v>
      </c>
      <c r="O41" s="16">
        <v>45748</v>
      </c>
      <c r="P41" s="13">
        <v>522212.04</v>
      </c>
      <c r="Q41" s="242" t="e">
        <v>#VALUE!</v>
      </c>
    </row>
    <row r="42" spans="1:17" x14ac:dyDescent="0.2">
      <c r="A42" s="4" t="s">
        <v>31</v>
      </c>
      <c r="B42" s="13">
        <v>1205115490</v>
      </c>
      <c r="C42" s="13">
        <v>1155708205.0599999</v>
      </c>
      <c r="D42" s="13">
        <v>49407284.940000057</v>
      </c>
      <c r="E42" s="13">
        <v>24722787.030000001</v>
      </c>
      <c r="F42" s="13">
        <v>22499042</v>
      </c>
      <c r="G42" s="14">
        <v>2.2000000000000002</v>
      </c>
      <c r="H42" s="14">
        <v>1.1000000000000001</v>
      </c>
      <c r="I42" s="13">
        <v>2060232.2525000002</v>
      </c>
      <c r="J42" s="15">
        <v>8</v>
      </c>
      <c r="K42" s="13">
        <v>32925426.920000054</v>
      </c>
      <c r="L42" s="13" t="s">
        <v>192</v>
      </c>
      <c r="M42" s="13" t="s">
        <v>192</v>
      </c>
      <c r="N42" s="197">
        <v>43922</v>
      </c>
      <c r="O42" s="16">
        <v>45748</v>
      </c>
      <c r="P42" s="13">
        <v>3139085.46</v>
      </c>
      <c r="Q42" s="242" t="e">
        <v>#VALUE!</v>
      </c>
    </row>
    <row r="43" spans="1:17" x14ac:dyDescent="0.2">
      <c r="A43" s="4" t="s">
        <v>27</v>
      </c>
      <c r="B43" s="13">
        <v>1309738768.5599999</v>
      </c>
      <c r="C43" s="13">
        <v>1242310209.71</v>
      </c>
      <c r="D43" s="13">
        <v>67428558.849999905</v>
      </c>
      <c r="E43" s="13">
        <v>27030468.809999999</v>
      </c>
      <c r="F43" s="13">
        <v>30738746</v>
      </c>
      <c r="G43" s="14">
        <v>2.19</v>
      </c>
      <c r="H43" s="14">
        <v>0.88</v>
      </c>
      <c r="I43" s="13">
        <v>2252539.0674999999</v>
      </c>
      <c r="J43" s="15">
        <v>0</v>
      </c>
      <c r="K43" s="13">
        <v>67428558.849999905</v>
      </c>
      <c r="L43" s="13" t="s">
        <v>193</v>
      </c>
      <c r="M43" s="13" t="s">
        <v>192</v>
      </c>
      <c r="N43" s="197">
        <v>43647</v>
      </c>
      <c r="O43" s="16">
        <v>45474</v>
      </c>
      <c r="P43" s="13">
        <v>5287483.1500000004</v>
      </c>
      <c r="Q43" s="242" t="e">
        <v>#VALUE!</v>
      </c>
    </row>
    <row r="44" spans="1:17" x14ac:dyDescent="0.2">
      <c r="A44" s="4" t="s">
        <v>41</v>
      </c>
      <c r="B44" s="13">
        <v>98701064</v>
      </c>
      <c r="C44" s="13">
        <v>92635618.599999994</v>
      </c>
      <c r="D44" s="13">
        <v>6065445.400000006</v>
      </c>
      <c r="E44" s="13">
        <v>3609677.95</v>
      </c>
      <c r="F44" s="13">
        <v>2898567</v>
      </c>
      <c r="G44" s="14">
        <v>2.09</v>
      </c>
      <c r="H44" s="14">
        <v>1.25</v>
      </c>
      <c r="I44" s="13">
        <v>300806.49583333335</v>
      </c>
      <c r="J44" s="15">
        <v>0</v>
      </c>
      <c r="K44" s="13">
        <v>6065445.400000006</v>
      </c>
      <c r="L44" s="13" t="s">
        <v>193</v>
      </c>
      <c r="M44" s="13" t="s">
        <v>192</v>
      </c>
      <c r="N44" s="197">
        <v>43647</v>
      </c>
      <c r="O44" s="16">
        <v>45474</v>
      </c>
      <c r="P44" s="13">
        <v>19385.5</v>
      </c>
      <c r="Q44" s="242" t="e">
        <v>#VALUE!</v>
      </c>
    </row>
    <row r="45" spans="1:17" x14ac:dyDescent="0.2">
      <c r="A45" s="4" t="s">
        <v>49</v>
      </c>
      <c r="B45" s="13">
        <v>685388676.61000001</v>
      </c>
      <c r="C45" s="13">
        <v>658394264.75</v>
      </c>
      <c r="D45" s="13">
        <v>26994411.860000014</v>
      </c>
      <c r="E45" s="13">
        <v>17113753.280000001</v>
      </c>
      <c r="F45" s="13">
        <v>13963452</v>
      </c>
      <c r="G45" s="14">
        <v>1.93</v>
      </c>
      <c r="H45" s="14">
        <v>1.23</v>
      </c>
      <c r="I45" s="13">
        <v>1426146.1066666667</v>
      </c>
      <c r="J45" s="15">
        <v>8</v>
      </c>
      <c r="K45" s="13">
        <v>15585243.006666681</v>
      </c>
      <c r="L45" s="13" t="s">
        <v>192</v>
      </c>
      <c r="M45" s="13" t="s">
        <v>192</v>
      </c>
      <c r="N45" s="197">
        <v>43922</v>
      </c>
      <c r="O45" s="16">
        <v>45748</v>
      </c>
      <c r="P45" s="13">
        <v>1438365.12</v>
      </c>
      <c r="Q45" s="242" t="e">
        <v>#VALUE!</v>
      </c>
    </row>
    <row r="46" spans="1:17" x14ac:dyDescent="0.2">
      <c r="A46" s="4" t="s">
        <v>48</v>
      </c>
      <c r="B46" s="13">
        <v>1940110596.77</v>
      </c>
      <c r="C46" s="13">
        <v>1853763033.99</v>
      </c>
      <c r="D46" s="13">
        <v>86347562.779999971</v>
      </c>
      <c r="E46" s="13">
        <v>41031459.899999999</v>
      </c>
      <c r="F46" s="13">
        <v>45492764</v>
      </c>
      <c r="G46" s="14">
        <v>1.9</v>
      </c>
      <c r="H46" s="14">
        <v>0.9</v>
      </c>
      <c r="I46" s="13">
        <v>3419288.3249999997</v>
      </c>
      <c r="J46" s="15">
        <v>0</v>
      </c>
      <c r="K46" s="13">
        <v>86347562.779999971</v>
      </c>
      <c r="L46" s="13" t="s">
        <v>192</v>
      </c>
      <c r="M46" s="13" t="s">
        <v>192</v>
      </c>
      <c r="N46" s="197">
        <v>43647</v>
      </c>
      <c r="O46" s="16">
        <v>45474</v>
      </c>
      <c r="P46" s="13">
        <v>5703695.54</v>
      </c>
      <c r="Q46" s="242" t="e">
        <v>#VALUE!</v>
      </c>
    </row>
    <row r="47" spans="1:17" x14ac:dyDescent="0.2">
      <c r="A47" s="4" t="s">
        <v>63</v>
      </c>
      <c r="B47" s="13">
        <v>1082941284</v>
      </c>
      <c r="C47" s="13">
        <v>1033521967.22</v>
      </c>
      <c r="D47" s="13">
        <v>49419316.779999971</v>
      </c>
      <c r="E47" s="13">
        <v>26849535.390000001</v>
      </c>
      <c r="F47" s="13">
        <v>27168342</v>
      </c>
      <c r="G47" s="14">
        <v>1.82</v>
      </c>
      <c r="H47" s="14">
        <v>0.99</v>
      </c>
      <c r="I47" s="13">
        <v>2237461.2825000002</v>
      </c>
      <c r="J47" s="15">
        <v>8</v>
      </c>
      <c r="K47" s="13">
        <v>31519626.51999997</v>
      </c>
      <c r="L47" s="13" t="s">
        <v>192</v>
      </c>
      <c r="M47" s="13" t="s">
        <v>192</v>
      </c>
      <c r="N47" s="197">
        <v>43922</v>
      </c>
      <c r="O47" s="16">
        <v>45748</v>
      </c>
      <c r="P47" s="13">
        <v>1589699.62</v>
      </c>
      <c r="Q47" s="242" t="e">
        <v>#VALUE!</v>
      </c>
    </row>
    <row r="48" spans="1:17" x14ac:dyDescent="0.2">
      <c r="A48" s="4" t="s">
        <v>59</v>
      </c>
      <c r="B48" s="13">
        <v>277600986</v>
      </c>
      <c r="C48" s="13">
        <v>264258089.03</v>
      </c>
      <c r="D48" s="13">
        <v>13342896.969999999</v>
      </c>
      <c r="E48" s="13">
        <v>10769526.550000001</v>
      </c>
      <c r="F48" s="13">
        <v>7461397</v>
      </c>
      <c r="G48" s="14">
        <v>1.79</v>
      </c>
      <c r="H48" s="14">
        <v>1.44</v>
      </c>
      <c r="I48" s="13">
        <v>897460.5458333334</v>
      </c>
      <c r="J48" s="15">
        <v>0</v>
      </c>
      <c r="K48" s="13">
        <v>13342896.969999999</v>
      </c>
      <c r="L48" s="13" t="s">
        <v>192</v>
      </c>
      <c r="M48" s="13" t="s">
        <v>192</v>
      </c>
      <c r="N48" s="197">
        <v>43647</v>
      </c>
      <c r="O48" s="16">
        <v>45474</v>
      </c>
      <c r="P48" s="13">
        <v>3650965</v>
      </c>
      <c r="Q48" s="242" t="e">
        <v>#VALUE!</v>
      </c>
    </row>
    <row r="49" spans="1:17" x14ac:dyDescent="0.2">
      <c r="A49" s="4" t="s">
        <v>32</v>
      </c>
      <c r="B49" s="13">
        <v>497245980</v>
      </c>
      <c r="C49" s="13">
        <v>476819493.38</v>
      </c>
      <c r="D49" s="13">
        <v>20426486.620000005</v>
      </c>
      <c r="E49" s="13">
        <v>10458091.26</v>
      </c>
      <c r="F49" s="13">
        <v>11808636</v>
      </c>
      <c r="G49" s="14">
        <v>1.73</v>
      </c>
      <c r="H49" s="14">
        <v>0.89</v>
      </c>
      <c r="I49" s="13">
        <v>871507.60499999998</v>
      </c>
      <c r="J49" s="15">
        <v>5</v>
      </c>
      <c r="K49" s="13">
        <v>16068948.595000004</v>
      </c>
      <c r="L49" s="13" t="s">
        <v>192</v>
      </c>
      <c r="M49" s="13" t="s">
        <v>192</v>
      </c>
      <c r="N49" s="197">
        <v>43831</v>
      </c>
      <c r="O49" s="16">
        <v>45658</v>
      </c>
      <c r="P49" s="13">
        <v>1625151.35</v>
      </c>
      <c r="Q49" s="242" t="e">
        <v>#VALUE!</v>
      </c>
    </row>
    <row r="50" spans="1:17" x14ac:dyDescent="0.2">
      <c r="A50" s="4" t="s">
        <v>17</v>
      </c>
      <c r="B50" s="13">
        <v>389160034</v>
      </c>
      <c r="C50" s="13">
        <v>372361356.38</v>
      </c>
      <c r="D50" s="13">
        <v>16798677.620000005</v>
      </c>
      <c r="E50" s="13">
        <v>11628531.289999999</v>
      </c>
      <c r="F50" s="13">
        <v>10126728</v>
      </c>
      <c r="G50" s="14">
        <v>1.66</v>
      </c>
      <c r="H50" s="14">
        <v>1.1499999999999999</v>
      </c>
      <c r="I50" s="13">
        <v>969044.27416666655</v>
      </c>
      <c r="J50" s="15">
        <v>0</v>
      </c>
      <c r="K50" s="13">
        <v>16798677.620000005</v>
      </c>
      <c r="L50" s="13" t="s">
        <v>192</v>
      </c>
      <c r="M50" s="13" t="s">
        <v>192</v>
      </c>
      <c r="N50" s="197">
        <v>43647</v>
      </c>
      <c r="O50" s="16">
        <v>45474</v>
      </c>
      <c r="P50" s="13">
        <v>2375029.17</v>
      </c>
      <c r="Q50" s="242" t="e">
        <v>#VALUE!</v>
      </c>
    </row>
    <row r="51" spans="1:17" x14ac:dyDescent="0.2">
      <c r="A51" s="4" t="s">
        <v>58</v>
      </c>
      <c r="B51" s="13">
        <v>238203233</v>
      </c>
      <c r="C51" s="13">
        <v>229569356.69999999</v>
      </c>
      <c r="D51" s="13">
        <v>8633876.3000000119</v>
      </c>
      <c r="E51" s="13">
        <v>4619674.42</v>
      </c>
      <c r="F51" s="13">
        <v>5501208</v>
      </c>
      <c r="G51" s="14">
        <v>1.57</v>
      </c>
      <c r="H51" s="14">
        <v>0.84</v>
      </c>
      <c r="I51" s="13">
        <v>384972.86833333335</v>
      </c>
      <c r="J51" s="15">
        <v>0</v>
      </c>
      <c r="K51" s="13">
        <v>8633876.3000000119</v>
      </c>
      <c r="L51" s="13" t="s">
        <v>192</v>
      </c>
      <c r="M51" s="13" t="s">
        <v>192</v>
      </c>
      <c r="N51" s="197">
        <v>43647</v>
      </c>
      <c r="O51" s="16">
        <v>45474</v>
      </c>
      <c r="P51" s="13">
        <v>0</v>
      </c>
      <c r="Q51" s="242" t="e">
        <v>#VALUE!</v>
      </c>
    </row>
    <row r="52" spans="1:17" x14ac:dyDescent="0.2">
      <c r="A52" s="4" t="s">
        <v>22</v>
      </c>
      <c r="B52" s="13">
        <v>75470621</v>
      </c>
      <c r="C52" s="13">
        <v>72247586.959999993</v>
      </c>
      <c r="D52" s="18">
        <v>3223034.0400000066</v>
      </c>
      <c r="E52" s="13">
        <v>1795500.51</v>
      </c>
      <c r="F52" s="13">
        <v>2752623</v>
      </c>
      <c r="G52" s="14">
        <v>1.17</v>
      </c>
      <c r="H52" s="14">
        <v>0.65</v>
      </c>
      <c r="I52" s="18">
        <v>149625.04250000001</v>
      </c>
      <c r="J52" s="15">
        <v>0</v>
      </c>
      <c r="K52" s="18">
        <v>3223034.0400000066</v>
      </c>
      <c r="L52" s="18" t="s">
        <v>192</v>
      </c>
      <c r="M52" s="18" t="s">
        <v>192</v>
      </c>
      <c r="N52" s="198">
        <v>43647</v>
      </c>
      <c r="O52" s="16">
        <v>45474</v>
      </c>
      <c r="P52" s="13">
        <v>398093.86</v>
      </c>
      <c r="Q52" s="242" t="e">
        <v>#VALUE!</v>
      </c>
    </row>
    <row r="53" spans="1:17" x14ac:dyDescent="0.25">
      <c r="A53" s="36" t="s">
        <v>65</v>
      </c>
      <c r="B53" s="33">
        <v>43056918036.709999</v>
      </c>
      <c r="C53" s="13">
        <v>39956711623.330002</v>
      </c>
      <c r="D53" s="33">
        <v>3100206413.3799973</v>
      </c>
      <c r="E53" s="13">
        <v>924509759.48000002</v>
      </c>
      <c r="F53" s="13">
        <v>981907757</v>
      </c>
      <c r="G53" s="14">
        <v>3.16</v>
      </c>
      <c r="H53" s="14">
        <v>0.94</v>
      </c>
      <c r="I53" s="33">
        <v>77042479.956666663</v>
      </c>
      <c r="J53" s="34"/>
      <c r="K53" s="35"/>
      <c r="L53" s="35"/>
      <c r="M53" s="35"/>
      <c r="N53" s="35"/>
      <c r="O53" s="35"/>
      <c r="P53" s="33">
        <v>131904933.79000001</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32</v>
      </c>
      <c r="H56" s="25"/>
    </row>
    <row r="57" spans="1:17" ht="27" customHeight="1" thickBot="1" x14ac:dyDescent="0.3">
      <c r="D57" s="248" t="s">
        <v>67</v>
      </c>
      <c r="E57" s="249"/>
      <c r="F57" s="249"/>
      <c r="G57" s="27"/>
      <c r="H57" s="28">
        <v>30</v>
      </c>
    </row>
  </sheetData>
  <mergeCells count="2">
    <mergeCell ref="D56:F56"/>
    <mergeCell ref="D57:F57"/>
  </mergeCells>
  <conditionalFormatting sqref="G54">
    <cfRule type="cellIs" dxfId="321" priority="13" stopIfTrue="1" operator="greaterThan">
      <formula>2.5</formula>
    </cfRule>
    <cfRule type="cellIs" dxfId="320" priority="14" stopIfTrue="1" operator="between">
      <formula>2.01</formula>
      <formula>2.5</formula>
    </cfRule>
  </conditionalFormatting>
  <conditionalFormatting sqref="H3:H53">
    <cfRule type="cellIs" dxfId="319" priority="12" stopIfTrue="1" operator="lessThan">
      <formula>1</formula>
    </cfRule>
  </conditionalFormatting>
  <conditionalFormatting sqref="G3:G53">
    <cfRule type="cellIs" dxfId="318" priority="10" stopIfTrue="1" operator="greaterThan">
      <formula>2.5</formula>
    </cfRule>
    <cfRule type="cellIs" dxfId="317" priority="11" stopIfTrue="1" operator="between">
      <formula>2.01</formula>
      <formula>2.5</formula>
    </cfRule>
  </conditionalFormatting>
  <conditionalFormatting sqref="K3:K52">
    <cfRule type="cellIs" dxfId="316" priority="8" stopIfTrue="1" operator="greaterThan">
      <formula>$F3*2.5</formula>
    </cfRule>
    <cfRule type="cellIs" dxfId="315" priority="9" stopIfTrue="1" operator="between">
      <formula>$F3*2</formula>
      <formula>$F3*2.5</formula>
    </cfRule>
  </conditionalFormatting>
  <conditionalFormatting sqref="G54">
    <cfRule type="cellIs" dxfId="314" priority="6" stopIfTrue="1" operator="greaterThan">
      <formula>2.5</formula>
    </cfRule>
    <cfRule type="cellIs" dxfId="313" priority="7" stopIfTrue="1" operator="between">
      <formula>2.01</formula>
      <formula>2.5</formula>
    </cfRule>
  </conditionalFormatting>
  <conditionalFormatting sqref="H3:H53">
    <cfRule type="cellIs" dxfId="312" priority="5" stopIfTrue="1" operator="lessThan">
      <formula>1</formula>
    </cfRule>
  </conditionalFormatting>
  <conditionalFormatting sqref="G3:G53">
    <cfRule type="cellIs" dxfId="311" priority="3" stopIfTrue="1" operator="greaterThan">
      <formula>2.5</formula>
    </cfRule>
    <cfRule type="cellIs" dxfId="310" priority="4" stopIfTrue="1" operator="between">
      <formula>2.01</formula>
      <formula>2.5</formula>
    </cfRule>
  </conditionalFormatting>
  <conditionalFormatting sqref="K3:K52">
    <cfRule type="cellIs" dxfId="309" priority="1" stopIfTrue="1" operator="greaterThan">
      <formula>$F3*2.5</formula>
    </cfRule>
    <cfRule type="cellIs" dxfId="308"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4568A-45D2-4C25-BE87-5D232823E184}">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277</v>
      </c>
      <c r="B1" s="196" t="s">
        <v>278</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1139975937.45</v>
      </c>
      <c r="C3" s="13">
        <v>988740485.89999998</v>
      </c>
      <c r="D3" s="13">
        <v>151235451.55000007</v>
      </c>
      <c r="E3" s="13">
        <v>13130163.83</v>
      </c>
      <c r="F3" s="13">
        <v>24778539</v>
      </c>
      <c r="G3" s="14">
        <v>6.1</v>
      </c>
      <c r="H3" s="14">
        <v>0.53</v>
      </c>
      <c r="I3" s="13">
        <v>1094180.3191666666</v>
      </c>
      <c r="J3" s="15">
        <v>0</v>
      </c>
      <c r="K3" s="13">
        <v>151235451.55000007</v>
      </c>
      <c r="L3" s="13" t="s">
        <v>193</v>
      </c>
      <c r="M3" s="13" t="s">
        <v>193</v>
      </c>
      <c r="N3" s="197">
        <v>43647</v>
      </c>
      <c r="O3" s="16">
        <v>45474</v>
      </c>
      <c r="P3" s="13">
        <v>1602918.48</v>
      </c>
      <c r="Q3" s="243" t="e">
        <v>#VALUE!</v>
      </c>
    </row>
    <row r="4" spans="1:17" x14ac:dyDescent="0.2">
      <c r="A4" s="4" t="s">
        <v>62</v>
      </c>
      <c r="B4" s="13">
        <v>708696383.32000005</v>
      </c>
      <c r="C4" s="13">
        <v>636760927.14999998</v>
      </c>
      <c r="D4" s="13">
        <v>71935456.170000076</v>
      </c>
      <c r="E4" s="13">
        <v>11807143.960000001</v>
      </c>
      <c r="F4" s="13">
        <v>13833071</v>
      </c>
      <c r="G4" s="14">
        <v>5.2</v>
      </c>
      <c r="H4" s="14">
        <v>0.85</v>
      </c>
      <c r="I4" s="13">
        <v>983928.66333333345</v>
      </c>
      <c r="J4" s="15">
        <v>0</v>
      </c>
      <c r="K4" s="13">
        <v>71935456.170000076</v>
      </c>
      <c r="L4" s="13" t="s">
        <v>193</v>
      </c>
      <c r="M4" s="13" t="s">
        <v>193</v>
      </c>
      <c r="N4" s="197">
        <v>43647</v>
      </c>
      <c r="O4" s="16">
        <v>45474</v>
      </c>
      <c r="P4" s="13">
        <v>649100.4</v>
      </c>
      <c r="Q4" s="242" t="e">
        <v>#VALUE!</v>
      </c>
    </row>
    <row r="5" spans="1:17" x14ac:dyDescent="0.2">
      <c r="A5" s="4" t="s">
        <v>46</v>
      </c>
      <c r="B5" s="13">
        <v>1788595890.3599999</v>
      </c>
      <c r="C5" s="13">
        <v>1551282300.76</v>
      </c>
      <c r="D5" s="13">
        <v>237313589.5999999</v>
      </c>
      <c r="E5" s="13">
        <v>40561967.880000003</v>
      </c>
      <c r="F5" s="13">
        <v>46272979</v>
      </c>
      <c r="G5" s="14">
        <v>5.13</v>
      </c>
      <c r="H5" s="14">
        <v>0.88</v>
      </c>
      <c r="I5" s="13">
        <v>3380163.99</v>
      </c>
      <c r="J5" s="15">
        <v>4</v>
      </c>
      <c r="K5" s="13">
        <v>223792933.6399999</v>
      </c>
      <c r="L5" s="13">
        <v>36191907.899999976</v>
      </c>
      <c r="M5" s="13">
        <v>30407785.524999976</v>
      </c>
      <c r="N5" s="197">
        <v>43831</v>
      </c>
      <c r="O5" s="16">
        <v>45658</v>
      </c>
      <c r="P5" s="13">
        <v>4962474.8899999997</v>
      </c>
      <c r="Q5" s="242" t="e">
        <v>#VALUE!</v>
      </c>
    </row>
    <row r="6" spans="1:17" x14ac:dyDescent="0.2">
      <c r="A6" s="4" t="s">
        <v>35</v>
      </c>
      <c r="B6" s="13">
        <v>1469242870.97</v>
      </c>
      <c r="C6" s="13">
        <v>1301932838.1099999</v>
      </c>
      <c r="D6" s="13">
        <v>167310032.86000013</v>
      </c>
      <c r="E6" s="13">
        <v>13625650.74</v>
      </c>
      <c r="F6" s="13">
        <v>33073641</v>
      </c>
      <c r="G6" s="14">
        <v>5.0599999999999996</v>
      </c>
      <c r="H6" s="14">
        <v>0.41</v>
      </c>
      <c r="I6" s="13">
        <v>1135470.895</v>
      </c>
      <c r="J6" s="15">
        <v>0</v>
      </c>
      <c r="K6" s="13">
        <v>167310032.86000013</v>
      </c>
      <c r="L6" s="13" t="s">
        <v>193</v>
      </c>
      <c r="M6" s="13" t="s">
        <v>193</v>
      </c>
      <c r="N6" s="197">
        <v>43647</v>
      </c>
      <c r="O6" s="16">
        <v>45474</v>
      </c>
      <c r="P6" s="13">
        <v>2537133.69</v>
      </c>
      <c r="Q6" s="242" t="e">
        <v>#VALUE!</v>
      </c>
    </row>
    <row r="7" spans="1:17" x14ac:dyDescent="0.2">
      <c r="A7" s="4" t="s">
        <v>26</v>
      </c>
      <c r="B7" s="13">
        <v>1336273473.74</v>
      </c>
      <c r="C7" s="13">
        <v>1201608717.25</v>
      </c>
      <c r="D7" s="13">
        <v>134664756.49000001</v>
      </c>
      <c r="E7" s="13">
        <v>27967829.149999999</v>
      </c>
      <c r="F7" s="13">
        <v>29074134</v>
      </c>
      <c r="G7" s="14">
        <v>4.63</v>
      </c>
      <c r="H7" s="14">
        <v>0.96</v>
      </c>
      <c r="I7" s="13">
        <v>2330652.4291666667</v>
      </c>
      <c r="J7" s="15">
        <v>4</v>
      </c>
      <c r="K7" s="13">
        <v>125342146.77333334</v>
      </c>
      <c r="L7" s="13">
        <v>19129122.122500002</v>
      </c>
      <c r="M7" s="13">
        <v>15494855.372500002</v>
      </c>
      <c r="N7" s="197">
        <v>43831</v>
      </c>
      <c r="O7" s="16">
        <v>45658</v>
      </c>
      <c r="P7" s="13">
        <v>7188774.9199999999</v>
      </c>
      <c r="Q7" s="242" t="e">
        <v>#VALUE!</v>
      </c>
    </row>
    <row r="8" spans="1:17" x14ac:dyDescent="0.2">
      <c r="A8" s="4" t="s">
        <v>64</v>
      </c>
      <c r="B8" s="13">
        <v>120899760.39</v>
      </c>
      <c r="C8" s="13">
        <v>104600804.65000001</v>
      </c>
      <c r="D8" s="13">
        <v>16298955.739999995</v>
      </c>
      <c r="E8" s="13">
        <v>1077058.03</v>
      </c>
      <c r="F8" s="13">
        <v>3521015</v>
      </c>
      <c r="G8" s="14">
        <v>4.63</v>
      </c>
      <c r="H8" s="14">
        <v>0.31</v>
      </c>
      <c r="I8" s="13">
        <v>89754.835833333331</v>
      </c>
      <c r="J8" s="15">
        <v>4</v>
      </c>
      <c r="K8" s="13">
        <v>15939936.396666661</v>
      </c>
      <c r="L8" s="13">
        <v>2314231.4349999987</v>
      </c>
      <c r="M8" s="13">
        <v>1874104.5599999987</v>
      </c>
      <c r="N8" s="197">
        <v>43831</v>
      </c>
      <c r="O8" s="16">
        <v>45658</v>
      </c>
      <c r="P8" s="13">
        <v>80979.990000000005</v>
      </c>
      <c r="Q8" s="242" t="e">
        <v>#VALUE!</v>
      </c>
    </row>
    <row r="9" spans="1:17" x14ac:dyDescent="0.2">
      <c r="A9" s="4" t="s">
        <v>44</v>
      </c>
      <c r="B9" s="13">
        <v>493558716</v>
      </c>
      <c r="C9" s="13">
        <v>449384619.61000001</v>
      </c>
      <c r="D9" s="13">
        <v>44174096.389999986</v>
      </c>
      <c r="E9" s="13">
        <v>8085135.5199999996</v>
      </c>
      <c r="F9" s="13">
        <v>11038481</v>
      </c>
      <c r="G9" s="14">
        <v>4</v>
      </c>
      <c r="H9" s="14">
        <v>0.73</v>
      </c>
      <c r="I9" s="13">
        <v>673761.29333333333</v>
      </c>
      <c r="J9" s="15">
        <v>4</v>
      </c>
      <c r="K9" s="13">
        <v>41479051.216666654</v>
      </c>
      <c r="L9" s="13">
        <v>5524283.5974999964</v>
      </c>
      <c r="M9" s="13">
        <v>4144473.4724999964</v>
      </c>
      <c r="N9" s="197">
        <v>43831</v>
      </c>
      <c r="O9" s="16">
        <v>45658</v>
      </c>
      <c r="P9" s="13">
        <v>1662601.15</v>
      </c>
      <c r="Q9" s="242" t="e">
        <v>#VALUE!</v>
      </c>
    </row>
    <row r="10" spans="1:17" x14ac:dyDescent="0.2">
      <c r="A10" s="4" t="s">
        <v>36</v>
      </c>
      <c r="B10" s="13">
        <v>853256279</v>
      </c>
      <c r="C10" s="13">
        <v>778452211.62</v>
      </c>
      <c r="D10" s="13">
        <v>74804067.379999995</v>
      </c>
      <c r="E10" s="13">
        <v>17445934.850000001</v>
      </c>
      <c r="F10" s="13">
        <v>18836467</v>
      </c>
      <c r="G10" s="14">
        <v>3.97</v>
      </c>
      <c r="H10" s="14">
        <v>0.93</v>
      </c>
      <c r="I10" s="13">
        <v>1453827.9041666668</v>
      </c>
      <c r="J10" s="15">
        <v>1</v>
      </c>
      <c r="K10" s="13">
        <v>73350239.475833327</v>
      </c>
      <c r="L10" s="13">
        <v>37131133.379999995</v>
      </c>
      <c r="M10" s="13">
        <v>27712899.879999995</v>
      </c>
      <c r="N10" s="197">
        <v>43739</v>
      </c>
      <c r="O10" s="16">
        <v>45566</v>
      </c>
      <c r="P10" s="13">
        <v>421372.28</v>
      </c>
      <c r="Q10" s="242" t="e">
        <v>#VALUE!</v>
      </c>
    </row>
    <row r="11" spans="1:17" x14ac:dyDescent="0.2">
      <c r="A11" s="4" t="s">
        <v>47</v>
      </c>
      <c r="B11" s="13">
        <v>187480557</v>
      </c>
      <c r="C11" s="13">
        <v>173796348.38999999</v>
      </c>
      <c r="D11" s="13">
        <v>13684208.610000014</v>
      </c>
      <c r="E11" s="13">
        <v>2656732.92</v>
      </c>
      <c r="F11" s="13">
        <v>3515583</v>
      </c>
      <c r="G11" s="14">
        <v>3.89</v>
      </c>
      <c r="H11" s="14">
        <v>0.76</v>
      </c>
      <c r="I11" s="13">
        <v>221394.41</v>
      </c>
      <c r="J11" s="15">
        <v>0</v>
      </c>
      <c r="K11" s="13">
        <v>13684208.610000014</v>
      </c>
      <c r="L11" s="13" t="s">
        <v>193</v>
      </c>
      <c r="M11" s="13" t="s">
        <v>193</v>
      </c>
      <c r="N11" s="197">
        <v>43647</v>
      </c>
      <c r="O11" s="16">
        <v>45474</v>
      </c>
      <c r="P11" s="13">
        <v>211579.43</v>
      </c>
      <c r="Q11" s="242" t="e">
        <v>#VALUE!</v>
      </c>
    </row>
    <row r="12" spans="1:17" x14ac:dyDescent="0.2">
      <c r="A12" s="4" t="s">
        <v>52</v>
      </c>
      <c r="B12" s="13">
        <v>1945106991</v>
      </c>
      <c r="C12" s="13">
        <v>1860286124.8800001</v>
      </c>
      <c r="D12" s="13">
        <v>84820866.119999886</v>
      </c>
      <c r="E12" s="13">
        <v>20360770.210000001</v>
      </c>
      <c r="F12" s="13">
        <v>22131554</v>
      </c>
      <c r="G12" s="14">
        <v>3.83</v>
      </c>
      <c r="H12" s="14">
        <v>0.92</v>
      </c>
      <c r="I12" s="13">
        <v>1696730.8508333333</v>
      </c>
      <c r="J12" s="15">
        <v>0</v>
      </c>
      <c r="K12" s="13">
        <v>84820866.119999886</v>
      </c>
      <c r="L12" s="13" t="s">
        <v>193</v>
      </c>
      <c r="M12" s="13" t="s">
        <v>193</v>
      </c>
      <c r="N12" s="197">
        <v>43647</v>
      </c>
      <c r="O12" s="16">
        <v>45474</v>
      </c>
      <c r="P12" s="13">
        <v>1062974.47</v>
      </c>
      <c r="Q12" s="242" t="e">
        <v>#VALUE!</v>
      </c>
    </row>
    <row r="13" spans="1:17" x14ac:dyDescent="0.2">
      <c r="A13" s="4" t="s">
        <v>30</v>
      </c>
      <c r="B13" s="13">
        <v>1168142277.4400001</v>
      </c>
      <c r="C13" s="13">
        <v>1067818321.45</v>
      </c>
      <c r="D13" s="13">
        <v>100323955.99000001</v>
      </c>
      <c r="E13" s="13">
        <v>16494272.119999999</v>
      </c>
      <c r="F13" s="13">
        <v>26355588</v>
      </c>
      <c r="G13" s="14">
        <v>3.81</v>
      </c>
      <c r="H13" s="14">
        <v>0.63</v>
      </c>
      <c r="I13" s="13">
        <v>1374522.6766666665</v>
      </c>
      <c r="J13" s="15">
        <v>0</v>
      </c>
      <c r="K13" s="13">
        <v>100323955.99000001</v>
      </c>
      <c r="L13" s="13" t="s">
        <v>193</v>
      </c>
      <c r="M13" s="13" t="s">
        <v>193</v>
      </c>
      <c r="N13" s="197">
        <v>43647</v>
      </c>
      <c r="O13" s="16">
        <v>45474</v>
      </c>
      <c r="P13" s="13">
        <v>748704</v>
      </c>
      <c r="Q13" s="242" t="e">
        <v>#VALUE!</v>
      </c>
    </row>
    <row r="14" spans="1:17" x14ac:dyDescent="0.2">
      <c r="A14" s="4" t="s">
        <v>53</v>
      </c>
      <c r="B14" s="13">
        <v>203184695.25999999</v>
      </c>
      <c r="C14" s="13">
        <v>181741029.66999999</v>
      </c>
      <c r="D14" s="13">
        <v>21443665.590000004</v>
      </c>
      <c r="E14" s="13">
        <v>6400170.6100000003</v>
      </c>
      <c r="F14" s="13">
        <v>5655134</v>
      </c>
      <c r="G14" s="14">
        <v>3.79</v>
      </c>
      <c r="H14" s="14">
        <v>1.1299999999999999</v>
      </c>
      <c r="I14" s="13">
        <v>533347.5508333334</v>
      </c>
      <c r="J14" s="15">
        <v>0</v>
      </c>
      <c r="K14" s="13">
        <v>21443665.590000004</v>
      </c>
      <c r="L14" s="13" t="s">
        <v>193</v>
      </c>
      <c r="M14" s="13" t="s">
        <v>193</v>
      </c>
      <c r="N14" s="197">
        <v>43647</v>
      </c>
      <c r="O14" s="16">
        <v>45474</v>
      </c>
      <c r="P14" s="13">
        <v>80278.03</v>
      </c>
      <c r="Q14" s="242" t="e">
        <v>#VALUE!</v>
      </c>
    </row>
    <row r="15" spans="1:17" x14ac:dyDescent="0.2">
      <c r="A15" s="4" t="s">
        <v>39</v>
      </c>
      <c r="B15" s="13">
        <v>265120500</v>
      </c>
      <c r="C15" s="13">
        <v>242576304.59999999</v>
      </c>
      <c r="D15" s="13">
        <v>22544195.400000006</v>
      </c>
      <c r="E15" s="13">
        <v>10950235.01</v>
      </c>
      <c r="F15" s="13">
        <v>6172506</v>
      </c>
      <c r="G15" s="14">
        <v>3.65</v>
      </c>
      <c r="H15" s="14">
        <v>1.77</v>
      </c>
      <c r="I15" s="13">
        <v>912519.58416666661</v>
      </c>
      <c r="J15" s="15">
        <v>7</v>
      </c>
      <c r="K15" s="13">
        <v>16156558.310833339</v>
      </c>
      <c r="L15" s="13">
        <v>1457026.2000000009</v>
      </c>
      <c r="M15" s="13">
        <v>1016132.9142857151</v>
      </c>
      <c r="N15" s="197">
        <v>43922</v>
      </c>
      <c r="O15" s="16">
        <v>45748</v>
      </c>
      <c r="P15" s="13">
        <v>1742550.52</v>
      </c>
      <c r="Q15" s="242" t="e">
        <v>#VALUE!</v>
      </c>
    </row>
    <row r="16" spans="1:17" x14ac:dyDescent="0.2">
      <c r="A16" s="4" t="s">
        <v>19</v>
      </c>
      <c r="B16" s="13">
        <v>1438428739.9100001</v>
      </c>
      <c r="C16" s="13">
        <v>1328946765.05</v>
      </c>
      <c r="D16" s="13">
        <v>109481974.86000013</v>
      </c>
      <c r="E16" s="13">
        <v>29056587.940000001</v>
      </c>
      <c r="F16" s="13">
        <v>30065955</v>
      </c>
      <c r="G16" s="14">
        <v>3.64</v>
      </c>
      <c r="H16" s="14">
        <v>0.97</v>
      </c>
      <c r="I16" s="13">
        <v>2421382.3283333336</v>
      </c>
      <c r="J16" s="15">
        <v>0</v>
      </c>
      <c r="K16" s="13">
        <v>109481974.86000013</v>
      </c>
      <c r="L16" s="13" t="s">
        <v>193</v>
      </c>
      <c r="M16" s="13" t="s">
        <v>193</v>
      </c>
      <c r="N16" s="197">
        <v>43647</v>
      </c>
      <c r="O16" s="16">
        <v>45474</v>
      </c>
      <c r="P16" s="13">
        <v>1076943.96</v>
      </c>
      <c r="Q16" s="242" t="e">
        <v>#VALUE!</v>
      </c>
    </row>
    <row r="17" spans="1:17" x14ac:dyDescent="0.2">
      <c r="A17" s="4" t="s">
        <v>40</v>
      </c>
      <c r="B17" s="13">
        <v>500565228.91000003</v>
      </c>
      <c r="C17" s="13">
        <v>462300183.50999999</v>
      </c>
      <c r="D17" s="13">
        <v>38265045.400000036</v>
      </c>
      <c r="E17" s="13">
        <v>5521083.04</v>
      </c>
      <c r="F17" s="13">
        <v>10539100</v>
      </c>
      <c r="G17" s="14">
        <v>3.63</v>
      </c>
      <c r="H17" s="14">
        <v>0.52</v>
      </c>
      <c r="I17" s="13">
        <v>460090.25333333336</v>
      </c>
      <c r="J17" s="15">
        <v>0</v>
      </c>
      <c r="K17" s="13">
        <v>38265045.400000036</v>
      </c>
      <c r="L17" s="13" t="s">
        <v>193</v>
      </c>
      <c r="M17" s="13" t="s">
        <v>193</v>
      </c>
      <c r="N17" s="197">
        <v>43647</v>
      </c>
      <c r="O17" s="16">
        <v>45474</v>
      </c>
      <c r="P17" s="13">
        <v>316445.81</v>
      </c>
      <c r="Q17" s="242" t="e">
        <v>#VALUE!</v>
      </c>
    </row>
    <row r="18" spans="1:17" x14ac:dyDescent="0.2">
      <c r="A18" s="4" t="s">
        <v>60</v>
      </c>
      <c r="B18" s="13">
        <v>794219275</v>
      </c>
      <c r="C18" s="13">
        <v>724822873.46000004</v>
      </c>
      <c r="D18" s="13">
        <v>69396401.539999962</v>
      </c>
      <c r="E18" s="13">
        <v>13213974.619999999</v>
      </c>
      <c r="F18" s="13">
        <v>19107637</v>
      </c>
      <c r="G18" s="14">
        <v>3.63</v>
      </c>
      <c r="H18" s="14">
        <v>0.69</v>
      </c>
      <c r="I18" s="13">
        <v>1101164.5516666665</v>
      </c>
      <c r="J18" s="15">
        <v>0</v>
      </c>
      <c r="K18" s="13">
        <v>69396401.539999962</v>
      </c>
      <c r="L18" s="13" t="s">
        <v>193</v>
      </c>
      <c r="M18" s="13" t="s">
        <v>193</v>
      </c>
      <c r="N18" s="197">
        <v>43647</v>
      </c>
      <c r="O18" s="16">
        <v>45474</v>
      </c>
      <c r="P18" s="13">
        <v>1032620.74</v>
      </c>
      <c r="Q18" s="242" t="e">
        <v>#VALUE!</v>
      </c>
    </row>
    <row r="19" spans="1:17" x14ac:dyDescent="0.2">
      <c r="A19" s="4" t="s">
        <v>18</v>
      </c>
      <c r="B19" s="13">
        <v>800464324.92999995</v>
      </c>
      <c r="C19" s="13">
        <v>740433981.32000005</v>
      </c>
      <c r="D19" s="13">
        <v>60030343.609999895</v>
      </c>
      <c r="E19" s="13">
        <v>23556610.129999999</v>
      </c>
      <c r="F19" s="13">
        <v>17480755</v>
      </c>
      <c r="G19" s="14">
        <v>3.43</v>
      </c>
      <c r="H19" s="14">
        <v>1.35</v>
      </c>
      <c r="I19" s="13">
        <v>1963050.8441666665</v>
      </c>
      <c r="J19" s="15">
        <v>0</v>
      </c>
      <c r="K19" s="13">
        <v>60030343.609999895</v>
      </c>
      <c r="L19" s="13" t="s">
        <v>193</v>
      </c>
      <c r="M19" s="13" t="s">
        <v>193</v>
      </c>
      <c r="N19" s="197">
        <v>43647</v>
      </c>
      <c r="O19" s="16">
        <v>45474</v>
      </c>
      <c r="P19" s="13">
        <v>1151722.45</v>
      </c>
      <c r="Q19" s="242" t="e">
        <v>#VALUE!</v>
      </c>
    </row>
    <row r="20" spans="1:17" x14ac:dyDescent="0.2">
      <c r="A20" s="4" t="s">
        <v>54</v>
      </c>
      <c r="B20" s="13">
        <v>1022430792.45</v>
      </c>
      <c r="C20" s="13">
        <v>955468319.20000005</v>
      </c>
      <c r="D20" s="13">
        <v>66962473.25</v>
      </c>
      <c r="E20" s="13">
        <v>25142184.34</v>
      </c>
      <c r="F20" s="13">
        <v>19809810</v>
      </c>
      <c r="G20" s="14">
        <v>3.38</v>
      </c>
      <c r="H20" s="14">
        <v>1.27</v>
      </c>
      <c r="I20" s="13">
        <v>2095182.0283333333</v>
      </c>
      <c r="J20" s="15">
        <v>7</v>
      </c>
      <c r="K20" s="13">
        <v>52296199.051666662</v>
      </c>
      <c r="L20" s="13">
        <v>3906121.8928571427</v>
      </c>
      <c r="M20" s="13">
        <v>2491135.4642857141</v>
      </c>
      <c r="N20" s="197">
        <v>43922</v>
      </c>
      <c r="O20" s="16">
        <v>45748</v>
      </c>
      <c r="P20" s="13">
        <v>2621648.16</v>
      </c>
      <c r="Q20" s="242" t="e">
        <v>#VALUE!</v>
      </c>
    </row>
    <row r="21" spans="1:17" x14ac:dyDescent="0.2">
      <c r="A21" s="4" t="s">
        <v>43</v>
      </c>
      <c r="B21" s="13">
        <v>300551063.33999997</v>
      </c>
      <c r="C21" s="13">
        <v>278105426.95999998</v>
      </c>
      <c r="D21" s="13">
        <v>22445636.379999995</v>
      </c>
      <c r="E21" s="13">
        <v>7089002.1600000001</v>
      </c>
      <c r="F21" s="13">
        <v>6730317</v>
      </c>
      <c r="G21" s="14">
        <v>3.34</v>
      </c>
      <c r="H21" s="14">
        <v>1.05</v>
      </c>
      <c r="I21" s="13">
        <v>590750.18000000005</v>
      </c>
      <c r="J21" s="15">
        <v>0</v>
      </c>
      <c r="K21" s="13">
        <v>22445636.379999995</v>
      </c>
      <c r="L21" s="13" t="s">
        <v>193</v>
      </c>
      <c r="M21" s="13" t="s">
        <v>193</v>
      </c>
      <c r="N21" s="197">
        <v>43647</v>
      </c>
      <c r="O21" s="16">
        <v>45474</v>
      </c>
      <c r="P21" s="13">
        <v>141583.5</v>
      </c>
      <c r="Q21" s="242" t="e">
        <v>#VALUE!</v>
      </c>
    </row>
    <row r="22" spans="1:17" x14ac:dyDescent="0.2">
      <c r="A22" s="4" t="s">
        <v>16</v>
      </c>
      <c r="B22" s="13">
        <v>104394118</v>
      </c>
      <c r="C22" s="13">
        <v>95624068.980000004</v>
      </c>
      <c r="D22" s="13">
        <v>8770049.0199999958</v>
      </c>
      <c r="E22" s="13">
        <v>1438228.81</v>
      </c>
      <c r="F22" s="13">
        <v>2677355</v>
      </c>
      <c r="G22" s="14">
        <v>3.28</v>
      </c>
      <c r="H22" s="14">
        <v>0.54</v>
      </c>
      <c r="I22" s="13">
        <v>119852.40083333333</v>
      </c>
      <c r="J22" s="15">
        <v>0</v>
      </c>
      <c r="K22" s="13">
        <v>8770049.0199999958</v>
      </c>
      <c r="L22" s="13" t="s">
        <v>193</v>
      </c>
      <c r="M22" s="13" t="s">
        <v>193</v>
      </c>
      <c r="N22" s="197">
        <v>43647</v>
      </c>
      <c r="O22" s="16">
        <v>45474</v>
      </c>
      <c r="P22" s="13">
        <v>18283.12</v>
      </c>
      <c r="Q22" s="242" t="e">
        <v>#VALUE!</v>
      </c>
    </row>
    <row r="23" spans="1:17" x14ac:dyDescent="0.2">
      <c r="A23" s="4" t="s">
        <v>38</v>
      </c>
      <c r="B23" s="13">
        <v>1010324720</v>
      </c>
      <c r="C23" s="13">
        <v>937243258.94000006</v>
      </c>
      <c r="D23" s="13">
        <v>73081461.059999943</v>
      </c>
      <c r="E23" s="13">
        <v>28593540.48</v>
      </c>
      <c r="F23" s="13">
        <v>23059848</v>
      </c>
      <c r="G23" s="14">
        <v>3.17</v>
      </c>
      <c r="H23" s="14">
        <v>1.24</v>
      </c>
      <c r="I23" s="13">
        <v>2382795.04</v>
      </c>
      <c r="J23" s="15">
        <v>7</v>
      </c>
      <c r="K23" s="13">
        <v>56401895.779999942</v>
      </c>
      <c r="L23" s="13">
        <v>3851680.7228571349</v>
      </c>
      <c r="M23" s="13" t="s">
        <v>192</v>
      </c>
      <c r="N23" s="197">
        <v>43922</v>
      </c>
      <c r="O23" s="16">
        <v>45748</v>
      </c>
      <c r="P23" s="13">
        <v>1706312.97</v>
      </c>
      <c r="Q23" s="242" t="e">
        <v>#VALUE!</v>
      </c>
    </row>
    <row r="24" spans="1:17" x14ac:dyDescent="0.2">
      <c r="A24" s="4" t="s">
        <v>55</v>
      </c>
      <c r="B24" s="13">
        <v>254239457</v>
      </c>
      <c r="C24" s="13">
        <v>236612203.69999999</v>
      </c>
      <c r="D24" s="13">
        <v>17627253.300000012</v>
      </c>
      <c r="E24" s="13">
        <v>4886404.58</v>
      </c>
      <c r="F24" s="13">
        <v>5680880</v>
      </c>
      <c r="G24" s="14">
        <v>3.1</v>
      </c>
      <c r="H24" s="14">
        <v>0.86</v>
      </c>
      <c r="I24" s="13">
        <v>407200.38166666665</v>
      </c>
      <c r="J24" s="15">
        <v>4</v>
      </c>
      <c r="K24" s="13">
        <v>15998451.773333345</v>
      </c>
      <c r="L24" s="13">
        <v>1566373.325000003</v>
      </c>
      <c r="M24" s="13">
        <v>856263.32500000298</v>
      </c>
      <c r="N24" s="197">
        <v>43831</v>
      </c>
      <c r="O24" s="16">
        <v>45658</v>
      </c>
      <c r="P24" s="13">
        <v>885721.33</v>
      </c>
      <c r="Q24" s="242" t="e">
        <v>#VALUE!</v>
      </c>
    </row>
    <row r="25" spans="1:17" x14ac:dyDescent="0.2">
      <c r="A25" s="4" t="s">
        <v>51</v>
      </c>
      <c r="B25" s="13">
        <v>2001064841.29</v>
      </c>
      <c r="C25" s="13">
        <v>1881279727.5599999</v>
      </c>
      <c r="D25" s="13">
        <v>119785113.73000002</v>
      </c>
      <c r="E25" s="13">
        <v>38346663.25</v>
      </c>
      <c r="F25" s="13">
        <v>40779947</v>
      </c>
      <c r="G25" s="14">
        <v>2.94</v>
      </c>
      <c r="H25" s="14">
        <v>0.94</v>
      </c>
      <c r="I25" s="13">
        <v>3195555.2708333335</v>
      </c>
      <c r="J25" s="15">
        <v>4</v>
      </c>
      <c r="K25" s="13">
        <v>107002892.64666669</v>
      </c>
      <c r="L25" s="13">
        <v>9556304.9325000048</v>
      </c>
      <c r="M25" s="13">
        <v>4458811.5575000048</v>
      </c>
      <c r="N25" s="197">
        <v>43831</v>
      </c>
      <c r="O25" s="16">
        <v>45658</v>
      </c>
      <c r="P25" s="13">
        <v>3041773.91</v>
      </c>
      <c r="Q25" s="242" t="e">
        <v>#VALUE!</v>
      </c>
    </row>
    <row r="26" spans="1:17" x14ac:dyDescent="0.2">
      <c r="A26" s="4" t="s">
        <v>45</v>
      </c>
      <c r="B26" s="13">
        <v>1228777673.53</v>
      </c>
      <c r="C26" s="13">
        <v>1092210167.1199999</v>
      </c>
      <c r="D26" s="13">
        <v>136567506.41000009</v>
      </c>
      <c r="E26" s="13">
        <v>43525065.469999999</v>
      </c>
      <c r="F26" s="13">
        <v>47456120</v>
      </c>
      <c r="G26" s="14">
        <v>2.88</v>
      </c>
      <c r="H26" s="14">
        <v>0.92</v>
      </c>
      <c r="I26" s="13">
        <v>3627088.7891666666</v>
      </c>
      <c r="J26" s="15">
        <v>4</v>
      </c>
      <c r="K26" s="13">
        <v>122059151.25333342</v>
      </c>
      <c r="L26" s="13">
        <v>10413816.602500021</v>
      </c>
      <c r="M26" s="13">
        <v>4481801.6025000215</v>
      </c>
      <c r="N26" s="197">
        <v>43831</v>
      </c>
      <c r="O26" s="16">
        <v>45658</v>
      </c>
      <c r="P26" s="13">
        <v>2220877.42</v>
      </c>
      <c r="Q26" s="242" t="e">
        <v>#VALUE!</v>
      </c>
    </row>
    <row r="27" spans="1:17" x14ac:dyDescent="0.2">
      <c r="A27" s="4" t="s">
        <v>28</v>
      </c>
      <c r="B27" s="13">
        <v>1059732308</v>
      </c>
      <c r="C27" s="13">
        <v>991575300.25999999</v>
      </c>
      <c r="D27" s="13">
        <v>68157007.74000001</v>
      </c>
      <c r="E27" s="13">
        <v>19556756.609999999</v>
      </c>
      <c r="F27" s="13">
        <v>24168777</v>
      </c>
      <c r="G27" s="14">
        <v>2.82</v>
      </c>
      <c r="H27" s="14">
        <v>0.81</v>
      </c>
      <c r="I27" s="13">
        <v>1629729.7175</v>
      </c>
      <c r="J27" s="15">
        <v>4</v>
      </c>
      <c r="K27" s="13">
        <v>61638088.870000012</v>
      </c>
      <c r="L27" s="13">
        <v>4954863.4350000024</v>
      </c>
      <c r="M27" s="13">
        <v>1933766.3100000024</v>
      </c>
      <c r="N27" s="197">
        <v>43831</v>
      </c>
      <c r="O27" s="16">
        <v>45658</v>
      </c>
      <c r="P27" s="13">
        <v>2384647</v>
      </c>
      <c r="Q27" s="242" t="e">
        <v>#VALUE!</v>
      </c>
    </row>
    <row r="28" spans="1:17" x14ac:dyDescent="0.2">
      <c r="A28" s="4" t="s">
        <v>20</v>
      </c>
      <c r="B28" s="13">
        <v>392634217.93000001</v>
      </c>
      <c r="C28" s="13">
        <v>366852172.00999999</v>
      </c>
      <c r="D28" s="13">
        <v>25782045.920000017</v>
      </c>
      <c r="E28" s="13">
        <v>13921195.84</v>
      </c>
      <c r="F28" s="13">
        <v>9305817</v>
      </c>
      <c r="G28" s="14">
        <v>2.77</v>
      </c>
      <c r="H28" s="14">
        <v>1.5</v>
      </c>
      <c r="I28" s="13">
        <v>1160099.6533333333</v>
      </c>
      <c r="J28" s="15">
        <v>7</v>
      </c>
      <c r="K28" s="13">
        <v>17661348.346666683</v>
      </c>
      <c r="L28" s="13" t="s">
        <v>192</v>
      </c>
      <c r="M28" s="13" t="s">
        <v>192</v>
      </c>
      <c r="N28" s="197">
        <v>43556</v>
      </c>
      <c r="O28" s="16">
        <v>45748</v>
      </c>
      <c r="P28" s="13">
        <v>0</v>
      </c>
      <c r="Q28" s="242" t="e">
        <v>#VALUE!</v>
      </c>
    </row>
    <row r="29" spans="1:17" x14ac:dyDescent="0.2">
      <c r="A29" s="4" t="s">
        <v>37</v>
      </c>
      <c r="B29" s="13">
        <v>1239472339.1700001</v>
      </c>
      <c r="C29" s="13">
        <v>1172831927.6700001</v>
      </c>
      <c r="D29" s="13">
        <v>66640411.5</v>
      </c>
      <c r="E29" s="13">
        <v>19264881.699999999</v>
      </c>
      <c r="F29" s="13">
        <v>24088947</v>
      </c>
      <c r="G29" s="14">
        <v>2.77</v>
      </c>
      <c r="H29" s="14">
        <v>0.8</v>
      </c>
      <c r="I29" s="13">
        <v>1605406.8083333333</v>
      </c>
      <c r="J29" s="15">
        <v>0</v>
      </c>
      <c r="K29" s="13">
        <v>66640411.5</v>
      </c>
      <c r="L29" s="13" t="s">
        <v>193</v>
      </c>
      <c r="M29" s="13" t="s">
        <v>193</v>
      </c>
      <c r="N29" s="197">
        <v>43647</v>
      </c>
      <c r="O29" s="16">
        <v>45474</v>
      </c>
      <c r="P29" s="13">
        <v>2134521.64</v>
      </c>
      <c r="Q29" s="242" t="e">
        <v>#VALUE!</v>
      </c>
    </row>
    <row r="30" spans="1:17" x14ac:dyDescent="0.2">
      <c r="A30" s="4" t="s">
        <v>29</v>
      </c>
      <c r="B30" s="13">
        <v>675052951</v>
      </c>
      <c r="C30" s="13">
        <v>634171028.24000001</v>
      </c>
      <c r="D30" s="13">
        <v>40881922.75999999</v>
      </c>
      <c r="E30" s="13">
        <v>8400941.8800000008</v>
      </c>
      <c r="F30" s="13">
        <v>14786581</v>
      </c>
      <c r="G30" s="14">
        <v>2.76</v>
      </c>
      <c r="H30" s="14">
        <v>0.56999999999999995</v>
      </c>
      <c r="I30" s="13">
        <v>700078.49000000011</v>
      </c>
      <c r="J30" s="15">
        <v>4</v>
      </c>
      <c r="K30" s="13">
        <v>38081608.79999999</v>
      </c>
      <c r="L30" s="13">
        <v>2827190.1899999976</v>
      </c>
      <c r="M30" s="13">
        <v>978867.56499999762</v>
      </c>
      <c r="N30" s="197">
        <v>43466</v>
      </c>
      <c r="O30" s="16">
        <v>45658</v>
      </c>
      <c r="P30" s="13">
        <v>0</v>
      </c>
      <c r="Q30" s="242" t="e">
        <v>#VALUE!</v>
      </c>
    </row>
    <row r="31" spans="1:17" x14ac:dyDescent="0.2">
      <c r="A31" s="4" t="s">
        <v>24</v>
      </c>
      <c r="B31" s="13">
        <v>1642297566.0699999</v>
      </c>
      <c r="C31" s="13">
        <v>1531387279.9000001</v>
      </c>
      <c r="D31" s="13">
        <v>110910286.16999984</v>
      </c>
      <c r="E31" s="13">
        <v>34518514.130000003</v>
      </c>
      <c r="F31" s="13">
        <v>40984884</v>
      </c>
      <c r="G31" s="14">
        <v>2.71</v>
      </c>
      <c r="H31" s="14">
        <v>0.84</v>
      </c>
      <c r="I31" s="13">
        <v>2876542.8441666667</v>
      </c>
      <c r="J31" s="15">
        <v>0</v>
      </c>
      <c r="K31" s="13">
        <v>110910286.16999984</v>
      </c>
      <c r="L31" s="13" t="s">
        <v>193</v>
      </c>
      <c r="M31" s="13" t="s">
        <v>193</v>
      </c>
      <c r="N31" s="197">
        <v>43647</v>
      </c>
      <c r="O31" s="16">
        <v>45474</v>
      </c>
      <c r="P31" s="13">
        <v>4209298.0999999996</v>
      </c>
      <c r="Q31" s="242" t="e">
        <v>#VALUE!</v>
      </c>
    </row>
    <row r="32" spans="1:17" x14ac:dyDescent="0.2">
      <c r="A32" s="4" t="s">
        <v>33</v>
      </c>
      <c r="B32" s="13">
        <v>314446387.48000002</v>
      </c>
      <c r="C32" s="13">
        <v>291982328.95999998</v>
      </c>
      <c r="D32" s="13">
        <v>22464058.520000041</v>
      </c>
      <c r="E32" s="13">
        <v>9482162.6199999992</v>
      </c>
      <c r="F32" s="13">
        <v>8369791</v>
      </c>
      <c r="G32" s="14">
        <v>2.68</v>
      </c>
      <c r="H32" s="14">
        <v>1.1299999999999999</v>
      </c>
      <c r="I32" s="13">
        <v>790180.21833333327</v>
      </c>
      <c r="J32" s="15">
        <v>0</v>
      </c>
      <c r="K32" s="13">
        <v>22464058.520000041</v>
      </c>
      <c r="L32" s="13" t="s">
        <v>193</v>
      </c>
      <c r="M32" s="13" t="s">
        <v>193</v>
      </c>
      <c r="N32" s="197">
        <v>43647</v>
      </c>
      <c r="O32" s="16">
        <v>45474</v>
      </c>
      <c r="P32" s="13">
        <v>892669.57</v>
      </c>
      <c r="Q32" s="242" t="e">
        <v>#VALUE!</v>
      </c>
    </row>
    <row r="33" spans="1:17" x14ac:dyDescent="0.2">
      <c r="A33" s="4" t="s">
        <v>21</v>
      </c>
      <c r="B33" s="13">
        <v>528328839.02999997</v>
      </c>
      <c r="C33" s="13">
        <v>491980169.95999998</v>
      </c>
      <c r="D33" s="13">
        <v>36348669.069999993</v>
      </c>
      <c r="E33" s="13">
        <v>14511098.85</v>
      </c>
      <c r="F33" s="13">
        <v>13880022</v>
      </c>
      <c r="G33" s="14">
        <v>2.62</v>
      </c>
      <c r="H33" s="14">
        <v>1.05</v>
      </c>
      <c r="I33" s="13">
        <v>1209258.2375</v>
      </c>
      <c r="J33" s="15">
        <v>0</v>
      </c>
      <c r="K33" s="13">
        <v>36348669.069999993</v>
      </c>
      <c r="L33" s="13" t="s">
        <v>193</v>
      </c>
      <c r="M33" s="13" t="s">
        <v>193</v>
      </c>
      <c r="N33" s="197">
        <v>43647</v>
      </c>
      <c r="O33" s="16">
        <v>45474</v>
      </c>
      <c r="P33" s="13">
        <v>1799305.23</v>
      </c>
      <c r="Q33" s="242" t="e">
        <v>#VALUE!</v>
      </c>
    </row>
    <row r="34" spans="1:17" x14ac:dyDescent="0.2">
      <c r="A34" s="4" t="s">
        <v>56</v>
      </c>
      <c r="B34" s="13">
        <v>1154905413</v>
      </c>
      <c r="C34" s="13">
        <v>1084999530.0899999</v>
      </c>
      <c r="D34" s="13">
        <v>69905882.910000086</v>
      </c>
      <c r="E34" s="13">
        <v>21800084.890000001</v>
      </c>
      <c r="F34" s="13">
        <v>27571438</v>
      </c>
      <c r="G34" s="14">
        <v>2.54</v>
      </c>
      <c r="H34" s="14">
        <v>0.79</v>
      </c>
      <c r="I34" s="13">
        <v>1816673.7408333335</v>
      </c>
      <c r="J34" s="15">
        <v>0</v>
      </c>
      <c r="K34" s="13">
        <v>69905882.910000086</v>
      </c>
      <c r="L34" s="13" t="s">
        <v>193</v>
      </c>
      <c r="M34" s="13" t="s">
        <v>193</v>
      </c>
      <c r="N34" s="197">
        <v>43647</v>
      </c>
      <c r="O34" s="16">
        <v>45474</v>
      </c>
      <c r="P34" s="13">
        <v>1893931.54</v>
      </c>
      <c r="Q34" s="242" t="e">
        <v>#VALUE!</v>
      </c>
    </row>
    <row r="35" spans="1:17" x14ac:dyDescent="0.2">
      <c r="A35" s="4" t="s">
        <v>42</v>
      </c>
      <c r="B35" s="13">
        <v>346058940</v>
      </c>
      <c r="C35" s="13">
        <v>323113658.58999997</v>
      </c>
      <c r="D35" s="13">
        <v>22945281.410000026</v>
      </c>
      <c r="E35" s="13">
        <v>5280533.4400000004</v>
      </c>
      <c r="F35" s="13">
        <v>9353201</v>
      </c>
      <c r="G35" s="14">
        <v>2.4500000000000002</v>
      </c>
      <c r="H35" s="14">
        <v>0.56000000000000005</v>
      </c>
      <c r="I35" s="13">
        <v>440044.45333333337</v>
      </c>
      <c r="J35" s="15">
        <v>4</v>
      </c>
      <c r="K35" s="13">
        <v>21185103.596666694</v>
      </c>
      <c r="L35" s="13">
        <v>1059719.8525000066</v>
      </c>
      <c r="M35" s="13" t="s">
        <v>192</v>
      </c>
      <c r="N35" s="197">
        <v>43831</v>
      </c>
      <c r="O35" s="16">
        <v>45658</v>
      </c>
      <c r="P35" s="13">
        <v>217368.03</v>
      </c>
      <c r="Q35" s="242" t="e">
        <v>#VALUE!</v>
      </c>
    </row>
    <row r="36" spans="1:17" x14ac:dyDescent="0.2">
      <c r="A36" s="4" t="s">
        <v>61</v>
      </c>
      <c r="B36" s="13">
        <v>522049097</v>
      </c>
      <c r="C36" s="13">
        <v>491539589.11000001</v>
      </c>
      <c r="D36" s="13">
        <v>30509507.889999986</v>
      </c>
      <c r="E36" s="13">
        <v>13771523.26</v>
      </c>
      <c r="F36" s="13">
        <v>13105608</v>
      </c>
      <c r="G36" s="14">
        <v>2.33</v>
      </c>
      <c r="H36" s="14">
        <v>1.05</v>
      </c>
      <c r="I36" s="13">
        <v>1147626.9383333332</v>
      </c>
      <c r="J36" s="15">
        <v>0</v>
      </c>
      <c r="K36" s="13">
        <v>30509507.889999986</v>
      </c>
      <c r="L36" s="13" t="s">
        <v>193</v>
      </c>
      <c r="M36" s="13" t="s">
        <v>192</v>
      </c>
      <c r="N36" s="197">
        <v>43647</v>
      </c>
      <c r="O36" s="16">
        <v>45474</v>
      </c>
      <c r="P36" s="13">
        <v>678787.21</v>
      </c>
      <c r="Q36" s="242" t="e">
        <v>#VALUE!</v>
      </c>
    </row>
    <row r="37" spans="1:17" x14ac:dyDescent="0.2">
      <c r="A37" s="4" t="s">
        <v>50</v>
      </c>
      <c r="B37" s="13">
        <v>545409679.30999994</v>
      </c>
      <c r="C37" s="13">
        <v>518595560.19</v>
      </c>
      <c r="D37" s="13">
        <v>26814119.119999945</v>
      </c>
      <c r="E37" s="13">
        <v>13485535.880000001</v>
      </c>
      <c r="F37" s="13">
        <v>11656242</v>
      </c>
      <c r="G37" s="14">
        <v>2.2999999999999998</v>
      </c>
      <c r="H37" s="14">
        <v>1.1599999999999999</v>
      </c>
      <c r="I37" s="13">
        <v>1123794.6566666667</v>
      </c>
      <c r="J37" s="15">
        <v>4</v>
      </c>
      <c r="K37" s="13">
        <v>22318940.49333328</v>
      </c>
      <c r="L37" s="13" t="s">
        <v>192</v>
      </c>
      <c r="M37" s="13" t="s">
        <v>192</v>
      </c>
      <c r="N37" s="197">
        <v>43831</v>
      </c>
      <c r="O37" s="16">
        <v>45658</v>
      </c>
      <c r="P37" s="13">
        <v>683554</v>
      </c>
      <c r="Q37" s="242" t="e">
        <v>#VALUE!</v>
      </c>
    </row>
    <row r="38" spans="1:17" x14ac:dyDescent="0.2">
      <c r="A38" s="4" t="s">
        <v>57</v>
      </c>
      <c r="B38" s="13">
        <v>2879313105.54</v>
      </c>
      <c r="C38" s="13">
        <v>2718720369.5300002</v>
      </c>
      <c r="D38" s="13">
        <v>160592736.00999975</v>
      </c>
      <c r="E38" s="13">
        <v>75837286.049999997</v>
      </c>
      <c r="F38" s="13">
        <v>70613641</v>
      </c>
      <c r="G38" s="14">
        <v>2.27</v>
      </c>
      <c r="H38" s="14">
        <v>1.07</v>
      </c>
      <c r="I38" s="13">
        <v>6319773.8374999994</v>
      </c>
      <c r="J38" s="15">
        <v>0</v>
      </c>
      <c r="K38" s="13">
        <v>160592736.00999975</v>
      </c>
      <c r="L38" s="13" t="s">
        <v>193</v>
      </c>
      <c r="M38" s="13" t="s">
        <v>192</v>
      </c>
      <c r="N38" s="197">
        <v>44075</v>
      </c>
      <c r="O38" s="16">
        <v>45536</v>
      </c>
      <c r="P38" s="13">
        <v>6193105.5</v>
      </c>
      <c r="Q38" s="242" t="e">
        <v>#VALUE!</v>
      </c>
    </row>
    <row r="39" spans="1:17" x14ac:dyDescent="0.2">
      <c r="A39" s="4" t="s">
        <v>15</v>
      </c>
      <c r="B39" s="13">
        <v>1085275104.5</v>
      </c>
      <c r="C39" s="13">
        <v>1035280893.64</v>
      </c>
      <c r="D39" s="13">
        <v>49994210.860000014</v>
      </c>
      <c r="E39" s="13">
        <v>22616364.100000001</v>
      </c>
      <c r="F39" s="13">
        <v>22858857</v>
      </c>
      <c r="G39" s="14">
        <v>2.19</v>
      </c>
      <c r="H39" s="14">
        <v>0.99</v>
      </c>
      <c r="I39" s="13">
        <v>1884697.0083333335</v>
      </c>
      <c r="J39" s="15">
        <v>7</v>
      </c>
      <c r="K39" s="13">
        <v>36801331.801666677</v>
      </c>
      <c r="L39" s="13" t="s">
        <v>192</v>
      </c>
      <c r="M39" s="13" t="s">
        <v>192</v>
      </c>
      <c r="N39" s="197">
        <v>43556</v>
      </c>
      <c r="O39" s="16">
        <v>45748</v>
      </c>
      <c r="P39" s="13">
        <v>1636301.86</v>
      </c>
      <c r="Q39" s="242" t="e">
        <v>#VALUE!</v>
      </c>
    </row>
    <row r="40" spans="1:17" x14ac:dyDescent="0.2">
      <c r="A40" s="4" t="s">
        <v>31</v>
      </c>
      <c r="B40" s="13">
        <v>1205115490</v>
      </c>
      <c r="C40" s="13">
        <v>1156675061.3199999</v>
      </c>
      <c r="D40" s="13">
        <v>48440428.680000067</v>
      </c>
      <c r="E40" s="13">
        <v>25025714.539999999</v>
      </c>
      <c r="F40" s="13">
        <v>22499042</v>
      </c>
      <c r="G40" s="14">
        <v>2.15</v>
      </c>
      <c r="H40" s="14">
        <v>1.1100000000000001</v>
      </c>
      <c r="I40" s="13">
        <v>2085476.2116666667</v>
      </c>
      <c r="J40" s="15">
        <v>7</v>
      </c>
      <c r="K40" s="13">
        <v>33842095.198333398</v>
      </c>
      <c r="L40" s="13" t="s">
        <v>192</v>
      </c>
      <c r="M40" s="13" t="s">
        <v>192</v>
      </c>
      <c r="N40" s="197">
        <v>43922</v>
      </c>
      <c r="O40" s="16">
        <v>45748</v>
      </c>
      <c r="P40" s="13">
        <v>966856.26</v>
      </c>
      <c r="Q40" s="242" t="e">
        <v>#VALUE!</v>
      </c>
    </row>
    <row r="41" spans="1:17" x14ac:dyDescent="0.2">
      <c r="A41" s="4" t="s">
        <v>25</v>
      </c>
      <c r="B41" s="13">
        <v>342887810.45999998</v>
      </c>
      <c r="C41" s="13">
        <v>325253487.36000001</v>
      </c>
      <c r="D41" s="13">
        <v>17634323.099999964</v>
      </c>
      <c r="E41" s="13">
        <v>7727607.8899999997</v>
      </c>
      <c r="F41" s="13">
        <v>8236180</v>
      </c>
      <c r="G41" s="14">
        <v>2.14</v>
      </c>
      <c r="H41" s="14">
        <v>0.94</v>
      </c>
      <c r="I41" s="13">
        <v>643967.3241666666</v>
      </c>
      <c r="J41" s="15">
        <v>7</v>
      </c>
      <c r="K41" s="13">
        <v>13126551.830833297</v>
      </c>
      <c r="L41" s="13" t="s">
        <v>192</v>
      </c>
      <c r="M41" s="13" t="s">
        <v>192</v>
      </c>
      <c r="N41" s="197">
        <v>43556</v>
      </c>
      <c r="O41" s="16">
        <v>45748</v>
      </c>
      <c r="P41" s="13">
        <v>741009.06</v>
      </c>
      <c r="Q41" s="242" t="e">
        <v>#VALUE!</v>
      </c>
    </row>
    <row r="42" spans="1:17" x14ac:dyDescent="0.2">
      <c r="A42" s="4" t="s">
        <v>34</v>
      </c>
      <c r="B42" s="13">
        <v>1394382977.99</v>
      </c>
      <c r="C42" s="13">
        <v>1319946719.5799999</v>
      </c>
      <c r="D42" s="13">
        <v>74436258.410000086</v>
      </c>
      <c r="E42" s="13">
        <v>39721466.799999997</v>
      </c>
      <c r="F42" s="13">
        <v>34869850</v>
      </c>
      <c r="G42" s="14">
        <v>2.13</v>
      </c>
      <c r="H42" s="14">
        <v>1.1399999999999999</v>
      </c>
      <c r="I42" s="13">
        <v>3310122.2333333329</v>
      </c>
      <c r="J42" s="15">
        <v>7</v>
      </c>
      <c r="K42" s="13">
        <v>51265402.77666676</v>
      </c>
      <c r="L42" s="13" t="s">
        <v>192</v>
      </c>
      <c r="M42" s="13" t="s">
        <v>192</v>
      </c>
      <c r="N42" s="197">
        <v>43922</v>
      </c>
      <c r="O42" s="16">
        <v>45748</v>
      </c>
      <c r="P42" s="13">
        <v>4505709.0199999996</v>
      </c>
      <c r="Q42" s="242" t="e">
        <v>#VALUE!</v>
      </c>
    </row>
    <row r="43" spans="1:17" x14ac:dyDescent="0.2">
      <c r="A43" s="4" t="s">
        <v>27</v>
      </c>
      <c r="B43" s="13">
        <v>1309738768.5599999</v>
      </c>
      <c r="C43" s="13">
        <v>1245044821.8699999</v>
      </c>
      <c r="D43" s="13">
        <v>64693946.690000057</v>
      </c>
      <c r="E43" s="13">
        <v>26643362.629999999</v>
      </c>
      <c r="F43" s="13">
        <v>30738746</v>
      </c>
      <c r="G43" s="14">
        <v>2.1</v>
      </c>
      <c r="H43" s="14">
        <v>0.87</v>
      </c>
      <c r="I43" s="13">
        <v>2220280.2191666667</v>
      </c>
      <c r="J43" s="15">
        <v>0</v>
      </c>
      <c r="K43" s="13">
        <v>64693946.690000057</v>
      </c>
      <c r="L43" s="13" t="s">
        <v>193</v>
      </c>
      <c r="M43" s="13" t="s">
        <v>192</v>
      </c>
      <c r="N43" s="197">
        <v>43647</v>
      </c>
      <c r="O43" s="16">
        <v>45474</v>
      </c>
      <c r="P43" s="13">
        <v>2734612.16</v>
      </c>
      <c r="Q43" s="242" t="e">
        <v>#VALUE!</v>
      </c>
    </row>
    <row r="44" spans="1:17" x14ac:dyDescent="0.2">
      <c r="A44" s="4" t="s">
        <v>41</v>
      </c>
      <c r="B44" s="13">
        <v>98701064</v>
      </c>
      <c r="C44" s="13">
        <v>92876791.900000006</v>
      </c>
      <c r="D44" s="13">
        <v>5824272.099999994</v>
      </c>
      <c r="E44" s="13">
        <v>3182869.65</v>
      </c>
      <c r="F44" s="13">
        <v>2898567</v>
      </c>
      <c r="G44" s="14">
        <v>2.0099999999999998</v>
      </c>
      <c r="H44" s="14">
        <v>1.1000000000000001</v>
      </c>
      <c r="I44" s="13">
        <v>265239.13750000001</v>
      </c>
      <c r="J44" s="15">
        <v>0</v>
      </c>
      <c r="K44" s="13">
        <v>5824272.099999994</v>
      </c>
      <c r="L44" s="13" t="s">
        <v>193</v>
      </c>
      <c r="M44" s="13" t="s">
        <v>192</v>
      </c>
      <c r="N44" s="197">
        <v>43647</v>
      </c>
      <c r="O44" s="16">
        <v>45474</v>
      </c>
      <c r="P44" s="13">
        <v>241173.3</v>
      </c>
      <c r="Q44" s="242" t="e">
        <v>#VALUE!</v>
      </c>
    </row>
    <row r="45" spans="1:17" x14ac:dyDescent="0.2">
      <c r="A45" s="4" t="s">
        <v>48</v>
      </c>
      <c r="B45" s="13">
        <v>1940110596.77</v>
      </c>
      <c r="C45" s="13">
        <v>1855700680.4300001</v>
      </c>
      <c r="D45" s="13">
        <v>84409916.339999914</v>
      </c>
      <c r="E45" s="13">
        <v>41478361.960000001</v>
      </c>
      <c r="F45" s="13">
        <v>45492764</v>
      </c>
      <c r="G45" s="14">
        <v>1.86</v>
      </c>
      <c r="H45" s="14">
        <v>0.91</v>
      </c>
      <c r="I45" s="13">
        <v>3456530.1633333336</v>
      </c>
      <c r="J45" s="15">
        <v>0</v>
      </c>
      <c r="K45" s="13">
        <v>84409916.339999914</v>
      </c>
      <c r="L45" s="13" t="s">
        <v>192</v>
      </c>
      <c r="M45" s="13" t="s">
        <v>192</v>
      </c>
      <c r="N45" s="197">
        <v>43647</v>
      </c>
      <c r="O45" s="16">
        <v>45474</v>
      </c>
      <c r="P45" s="13">
        <v>1937646.44</v>
      </c>
      <c r="Q45" s="242" t="e">
        <v>#VALUE!</v>
      </c>
    </row>
    <row r="46" spans="1:17" x14ac:dyDescent="0.2">
      <c r="A46" s="4" t="s">
        <v>49</v>
      </c>
      <c r="B46" s="13">
        <v>685388676.61000001</v>
      </c>
      <c r="C46" s="13">
        <v>659647087.69000006</v>
      </c>
      <c r="D46" s="13">
        <v>25741588.919999957</v>
      </c>
      <c r="E46" s="13">
        <v>17221744.300000001</v>
      </c>
      <c r="F46" s="13">
        <v>13963452</v>
      </c>
      <c r="G46" s="14">
        <v>1.84</v>
      </c>
      <c r="H46" s="14">
        <v>1.23</v>
      </c>
      <c r="I46" s="13">
        <v>1435145.3583333334</v>
      </c>
      <c r="J46" s="15">
        <v>7</v>
      </c>
      <c r="K46" s="13">
        <v>15695571.411666624</v>
      </c>
      <c r="L46" s="13" t="s">
        <v>192</v>
      </c>
      <c r="M46" s="13" t="s">
        <v>192</v>
      </c>
      <c r="N46" s="197">
        <v>43922</v>
      </c>
      <c r="O46" s="16">
        <v>45748</v>
      </c>
      <c r="P46" s="13">
        <v>1252822.94</v>
      </c>
      <c r="Q46" s="242" t="e">
        <v>#VALUE!</v>
      </c>
    </row>
    <row r="47" spans="1:17" x14ac:dyDescent="0.2">
      <c r="A47" s="4" t="s">
        <v>63</v>
      </c>
      <c r="B47" s="13">
        <v>1082941284</v>
      </c>
      <c r="C47" s="13">
        <v>1033521967.22</v>
      </c>
      <c r="D47" s="13">
        <v>49419316.779999971</v>
      </c>
      <c r="E47" s="13">
        <v>23888876.02</v>
      </c>
      <c r="F47" s="13">
        <v>27168342</v>
      </c>
      <c r="G47" s="14">
        <v>1.82</v>
      </c>
      <c r="H47" s="14">
        <v>0.88</v>
      </c>
      <c r="I47" s="13">
        <v>1990739.6683333332</v>
      </c>
      <c r="J47" s="15">
        <v>7</v>
      </c>
      <c r="K47" s="13">
        <v>35484139.101666637</v>
      </c>
      <c r="L47" s="13" t="s">
        <v>192</v>
      </c>
      <c r="M47" s="13" t="s">
        <v>192</v>
      </c>
      <c r="N47" s="197">
        <v>43922</v>
      </c>
      <c r="O47" s="16">
        <v>45748</v>
      </c>
      <c r="P47" s="13">
        <v>0</v>
      </c>
      <c r="Q47" s="242" t="e">
        <v>#VALUE!</v>
      </c>
    </row>
    <row r="48" spans="1:17" x14ac:dyDescent="0.2">
      <c r="A48" s="4" t="s">
        <v>59</v>
      </c>
      <c r="B48" s="13">
        <v>277600986</v>
      </c>
      <c r="C48" s="13">
        <v>264698141.03</v>
      </c>
      <c r="D48" s="13">
        <v>12902844.969999999</v>
      </c>
      <c r="E48" s="13">
        <v>11101300.550000001</v>
      </c>
      <c r="F48" s="13">
        <v>7461397</v>
      </c>
      <c r="G48" s="14">
        <v>1.73</v>
      </c>
      <c r="H48" s="14">
        <v>1.49</v>
      </c>
      <c r="I48" s="13">
        <v>925108.37916666677</v>
      </c>
      <c r="J48" s="15">
        <v>0</v>
      </c>
      <c r="K48" s="13">
        <v>12902844.969999999</v>
      </c>
      <c r="L48" s="13" t="s">
        <v>192</v>
      </c>
      <c r="M48" s="13" t="s">
        <v>192</v>
      </c>
      <c r="N48" s="197">
        <v>43647</v>
      </c>
      <c r="O48" s="16">
        <v>45474</v>
      </c>
      <c r="P48" s="13">
        <v>440052</v>
      </c>
      <c r="Q48" s="242" t="e">
        <v>#VALUE!</v>
      </c>
    </row>
    <row r="49" spans="1:17" x14ac:dyDescent="0.2">
      <c r="A49" s="4" t="s">
        <v>17</v>
      </c>
      <c r="B49" s="13">
        <v>389160034</v>
      </c>
      <c r="C49" s="13">
        <v>372693081.81999999</v>
      </c>
      <c r="D49" s="13">
        <v>16466952.180000007</v>
      </c>
      <c r="E49" s="13">
        <v>10634069.199999999</v>
      </c>
      <c r="F49" s="13">
        <v>10126728</v>
      </c>
      <c r="G49" s="14">
        <v>1.63</v>
      </c>
      <c r="H49" s="14">
        <v>1.05</v>
      </c>
      <c r="I49" s="13">
        <v>886172.43333333323</v>
      </c>
      <c r="J49" s="15">
        <v>0</v>
      </c>
      <c r="K49" s="13">
        <v>16466952.180000007</v>
      </c>
      <c r="L49" s="13" t="s">
        <v>192</v>
      </c>
      <c r="M49" s="13" t="s">
        <v>192</v>
      </c>
      <c r="N49" s="197">
        <v>43647</v>
      </c>
      <c r="O49" s="16">
        <v>45474</v>
      </c>
      <c r="P49" s="13">
        <v>331725.44</v>
      </c>
      <c r="Q49" s="242" t="e">
        <v>#VALUE!</v>
      </c>
    </row>
    <row r="50" spans="1:17" x14ac:dyDescent="0.2">
      <c r="A50" s="4" t="s">
        <v>32</v>
      </c>
      <c r="B50" s="13">
        <v>497245980</v>
      </c>
      <c r="C50" s="13">
        <v>478042511.95999998</v>
      </c>
      <c r="D50" s="13">
        <v>19203468.040000021</v>
      </c>
      <c r="E50" s="13">
        <v>11093349</v>
      </c>
      <c r="F50" s="13">
        <v>11808636</v>
      </c>
      <c r="G50" s="14">
        <v>1.63</v>
      </c>
      <c r="H50" s="14">
        <v>0.94</v>
      </c>
      <c r="I50" s="13">
        <v>924445.75</v>
      </c>
      <c r="J50" s="15">
        <v>4</v>
      </c>
      <c r="K50" s="13">
        <v>15505685.040000021</v>
      </c>
      <c r="L50" s="13" t="s">
        <v>192</v>
      </c>
      <c r="M50" s="13" t="s">
        <v>192</v>
      </c>
      <c r="N50" s="197">
        <v>43831</v>
      </c>
      <c r="O50" s="16">
        <v>45658</v>
      </c>
      <c r="P50" s="13">
        <v>1223018.58</v>
      </c>
      <c r="Q50" s="242" t="e">
        <v>#VALUE!</v>
      </c>
    </row>
    <row r="51" spans="1:17" x14ac:dyDescent="0.2">
      <c r="A51" s="4" t="s">
        <v>58</v>
      </c>
      <c r="B51" s="13">
        <v>238203233</v>
      </c>
      <c r="C51" s="13">
        <v>231199036.84</v>
      </c>
      <c r="D51" s="13">
        <v>7004196.1599999964</v>
      </c>
      <c r="E51" s="13">
        <v>5600183.1100000003</v>
      </c>
      <c r="F51" s="13">
        <v>5501208</v>
      </c>
      <c r="G51" s="14">
        <v>1.27</v>
      </c>
      <c r="H51" s="14">
        <v>1.02</v>
      </c>
      <c r="I51" s="13">
        <v>466681.92583333334</v>
      </c>
      <c r="J51" s="15">
        <v>0</v>
      </c>
      <c r="K51" s="13">
        <v>7004196.1599999964</v>
      </c>
      <c r="L51" s="13" t="s">
        <v>192</v>
      </c>
      <c r="M51" s="13" t="s">
        <v>192</v>
      </c>
      <c r="N51" s="197">
        <v>43647</v>
      </c>
      <c r="O51" s="16">
        <v>45474</v>
      </c>
      <c r="P51" s="13">
        <v>1629680.14</v>
      </c>
      <c r="Q51" s="242" t="e">
        <v>#VALUE!</v>
      </c>
    </row>
    <row r="52" spans="1:17" x14ac:dyDescent="0.2">
      <c r="A52" s="4" t="s">
        <v>22</v>
      </c>
      <c r="B52" s="13">
        <v>75470621</v>
      </c>
      <c r="C52" s="13">
        <v>72956158.239999995</v>
      </c>
      <c r="D52" s="18">
        <v>2514462.7600000054</v>
      </c>
      <c r="E52" s="13">
        <v>2450323.12</v>
      </c>
      <c r="F52" s="13">
        <v>2752623</v>
      </c>
      <c r="G52" s="14">
        <v>0.91</v>
      </c>
      <c r="H52" s="14">
        <v>0.89</v>
      </c>
      <c r="I52" s="18">
        <v>204193.59333333335</v>
      </c>
      <c r="J52" s="15">
        <v>0</v>
      </c>
      <c r="K52" s="18">
        <v>2514462.7600000054</v>
      </c>
      <c r="L52" s="18" t="s">
        <v>192</v>
      </c>
      <c r="M52" s="18" t="s">
        <v>192</v>
      </c>
      <c r="N52" s="198">
        <v>43647</v>
      </c>
      <c r="O52" s="16">
        <v>45474</v>
      </c>
      <c r="P52" s="13">
        <v>708571.28</v>
      </c>
      <c r="Q52" s="242" t="e">
        <v>#VALUE!</v>
      </c>
    </row>
    <row r="53" spans="1:17" x14ac:dyDescent="0.25">
      <c r="A53" s="36" t="s">
        <v>65</v>
      </c>
      <c r="B53" s="33">
        <v>43056918036.709999</v>
      </c>
      <c r="C53" s="13">
        <v>40033313365.25</v>
      </c>
      <c r="D53" s="33">
        <v>3023604671.4599991</v>
      </c>
      <c r="E53" s="13">
        <v>909148517.66999996</v>
      </c>
      <c r="F53" s="13">
        <v>981907757</v>
      </c>
      <c r="G53" s="14">
        <v>3.08</v>
      </c>
      <c r="H53" s="14">
        <v>0.93</v>
      </c>
      <c r="I53" s="33">
        <v>75762376.472499996</v>
      </c>
      <c r="J53" s="34"/>
      <c r="K53" s="35"/>
      <c r="L53" s="35"/>
      <c r="M53" s="35"/>
      <c r="N53" s="35"/>
      <c r="O53" s="35"/>
      <c r="P53" s="33">
        <v>76601741.919999987</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32</v>
      </c>
      <c r="H56" s="25"/>
    </row>
    <row r="57" spans="1:17" ht="27" customHeight="1" thickBot="1" x14ac:dyDescent="0.3">
      <c r="D57" s="248" t="s">
        <v>67</v>
      </c>
      <c r="E57" s="249"/>
      <c r="F57" s="249"/>
      <c r="G57" s="27"/>
      <c r="H57" s="28">
        <v>31</v>
      </c>
    </row>
  </sheetData>
  <mergeCells count="2">
    <mergeCell ref="D56:F56"/>
    <mergeCell ref="D57:F57"/>
  </mergeCells>
  <conditionalFormatting sqref="G54">
    <cfRule type="cellIs" dxfId="307" priority="13" stopIfTrue="1" operator="greaterThan">
      <formula>2.5</formula>
    </cfRule>
    <cfRule type="cellIs" dxfId="306" priority="14" stopIfTrue="1" operator="between">
      <formula>2.01</formula>
      <formula>2.5</formula>
    </cfRule>
  </conditionalFormatting>
  <conditionalFormatting sqref="H3:H53">
    <cfRule type="cellIs" dxfId="305" priority="12" stopIfTrue="1" operator="lessThan">
      <formula>1</formula>
    </cfRule>
  </conditionalFormatting>
  <conditionalFormatting sqref="G3:G53">
    <cfRule type="cellIs" dxfId="304" priority="10" stopIfTrue="1" operator="greaterThan">
      <formula>2.5</formula>
    </cfRule>
    <cfRule type="cellIs" dxfId="303" priority="11" stopIfTrue="1" operator="between">
      <formula>2.01</formula>
      <formula>2.5</formula>
    </cfRule>
  </conditionalFormatting>
  <conditionalFormatting sqref="K3:K52">
    <cfRule type="cellIs" dxfId="302" priority="8" stopIfTrue="1" operator="greaterThan">
      <formula>$F3*2.5</formula>
    </cfRule>
    <cfRule type="cellIs" dxfId="301" priority="9" stopIfTrue="1" operator="between">
      <formula>$F3*2</formula>
      <formula>$F3*2.5</formula>
    </cfRule>
  </conditionalFormatting>
  <conditionalFormatting sqref="G54">
    <cfRule type="cellIs" dxfId="300" priority="6" stopIfTrue="1" operator="greaterThan">
      <formula>2.5</formula>
    </cfRule>
    <cfRule type="cellIs" dxfId="299" priority="7" stopIfTrue="1" operator="between">
      <formula>2.01</formula>
      <formula>2.5</formula>
    </cfRule>
  </conditionalFormatting>
  <conditionalFormatting sqref="H3:H53">
    <cfRule type="cellIs" dxfId="298" priority="5" stopIfTrue="1" operator="lessThan">
      <formula>1</formula>
    </cfRule>
  </conditionalFormatting>
  <conditionalFormatting sqref="G3:G53">
    <cfRule type="cellIs" dxfId="297" priority="3" stopIfTrue="1" operator="greaterThan">
      <formula>2.5</formula>
    </cfRule>
    <cfRule type="cellIs" dxfId="296" priority="4" stopIfTrue="1" operator="between">
      <formula>2.01</formula>
      <formula>2.5</formula>
    </cfRule>
  </conditionalFormatting>
  <conditionalFormatting sqref="K3:K52">
    <cfRule type="cellIs" dxfId="295" priority="1" stopIfTrue="1" operator="greaterThan">
      <formula>$F3*2.5</formula>
    </cfRule>
    <cfRule type="cellIs" dxfId="294"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2D86E-796F-4111-9108-3D6E6F7FF860}">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453125" style="17" bestFit="1" customWidth="1"/>
    <col min="16" max="16" width="7.7265625" style="23" bestFit="1" customWidth="1"/>
    <col min="17" max="17" width="12.81640625" style="17" bestFit="1" customWidth="1"/>
    <col min="18" max="16384" width="9.1796875" style="17"/>
  </cols>
  <sheetData>
    <row r="1" spans="1:17" s="8" customFormat="1" ht="18" x14ac:dyDescent="0.25">
      <c r="A1" s="4" t="s">
        <v>279</v>
      </c>
      <c r="B1" s="196" t="s">
        <v>280</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1139975937.45</v>
      </c>
      <c r="C3" s="13">
        <v>989552393.11000001</v>
      </c>
      <c r="D3" s="13">
        <v>150423544.34000003</v>
      </c>
      <c r="E3" s="13">
        <v>12657105.800000001</v>
      </c>
      <c r="F3" s="13">
        <v>24778539</v>
      </c>
      <c r="G3" s="14">
        <v>6.07</v>
      </c>
      <c r="H3" s="14">
        <v>0.51</v>
      </c>
      <c r="I3" s="13">
        <v>1054758.8166666667</v>
      </c>
      <c r="J3" s="15">
        <v>9</v>
      </c>
      <c r="K3" s="13">
        <v>140930714.99000004</v>
      </c>
      <c r="L3" s="13">
        <v>11207385.148888893</v>
      </c>
      <c r="M3" s="13">
        <v>9830799.6488888934</v>
      </c>
      <c r="N3" s="197">
        <v>43647</v>
      </c>
      <c r="O3" s="16">
        <v>45839</v>
      </c>
      <c r="P3" s="13">
        <v>811907.21</v>
      </c>
      <c r="Q3" s="243" t="e">
        <v>#VALUE!</v>
      </c>
    </row>
    <row r="4" spans="1:17" x14ac:dyDescent="0.2">
      <c r="A4" s="4" t="s">
        <v>62</v>
      </c>
      <c r="B4" s="13">
        <v>708696383.32000005</v>
      </c>
      <c r="C4" s="13">
        <v>638977991.03999996</v>
      </c>
      <c r="D4" s="13">
        <v>69718392.280000091</v>
      </c>
      <c r="E4" s="13">
        <v>12280601.25</v>
      </c>
      <c r="F4" s="13">
        <v>13833071</v>
      </c>
      <c r="G4" s="14">
        <v>5.04</v>
      </c>
      <c r="H4" s="14">
        <v>0.89</v>
      </c>
      <c r="I4" s="13">
        <v>1023383.4375</v>
      </c>
      <c r="J4" s="15">
        <v>9</v>
      </c>
      <c r="K4" s="13">
        <v>60507941.342500091</v>
      </c>
      <c r="L4" s="13">
        <v>4672472.2533333432</v>
      </c>
      <c r="M4" s="13">
        <v>3903968.3088888992</v>
      </c>
      <c r="N4" s="197">
        <v>43647</v>
      </c>
      <c r="O4" s="16">
        <v>45839</v>
      </c>
      <c r="P4" s="13">
        <v>2217063.89</v>
      </c>
      <c r="Q4" s="242" t="e">
        <v>#VALUE!</v>
      </c>
    </row>
    <row r="5" spans="1:17" x14ac:dyDescent="0.2">
      <c r="A5" s="4" t="s">
        <v>35</v>
      </c>
      <c r="B5" s="13">
        <v>1469242870.97</v>
      </c>
      <c r="C5" s="13">
        <v>1303707648.1300001</v>
      </c>
      <c r="D5" s="13">
        <v>165535222.83999991</v>
      </c>
      <c r="E5" s="13">
        <v>12407952.33</v>
      </c>
      <c r="F5" s="13">
        <v>33073641</v>
      </c>
      <c r="G5" s="14">
        <v>5.01</v>
      </c>
      <c r="H5" s="14">
        <v>0.38</v>
      </c>
      <c r="I5" s="13">
        <v>1033996.0275</v>
      </c>
      <c r="J5" s="15">
        <v>9</v>
      </c>
      <c r="K5" s="13">
        <v>156229258.59249991</v>
      </c>
      <c r="L5" s="13">
        <v>11043104.537777768</v>
      </c>
      <c r="M5" s="13">
        <v>9205680.0377777684</v>
      </c>
      <c r="N5" s="197">
        <v>43647</v>
      </c>
      <c r="O5" s="16">
        <v>45839</v>
      </c>
      <c r="P5" s="13">
        <v>1774810.02</v>
      </c>
      <c r="Q5" s="242" t="e">
        <v>#VALUE!</v>
      </c>
    </row>
    <row r="6" spans="1:17" x14ac:dyDescent="0.2">
      <c r="A6" s="4" t="s">
        <v>46</v>
      </c>
      <c r="B6" s="13">
        <v>1788595890.3599999</v>
      </c>
      <c r="C6" s="13">
        <v>1556783788.2</v>
      </c>
      <c r="D6" s="13">
        <v>231812102.15999985</v>
      </c>
      <c r="E6" s="13">
        <v>43467327.140000001</v>
      </c>
      <c r="F6" s="13">
        <v>46272979</v>
      </c>
      <c r="G6" s="14">
        <v>5.01</v>
      </c>
      <c r="H6" s="14">
        <v>0.94</v>
      </c>
      <c r="I6" s="13">
        <v>3622277.2616666667</v>
      </c>
      <c r="J6" s="15">
        <v>3</v>
      </c>
      <c r="K6" s="13">
        <v>220945270.37499985</v>
      </c>
      <c r="L6" s="13">
        <v>46422048.053333282</v>
      </c>
      <c r="M6" s="13">
        <v>38709884.886666618</v>
      </c>
      <c r="N6" s="197">
        <v>43831</v>
      </c>
      <c r="O6" s="16">
        <v>45658</v>
      </c>
      <c r="P6" s="13">
        <v>5501487.4400000004</v>
      </c>
      <c r="Q6" s="242" t="e">
        <v>#VALUE!</v>
      </c>
    </row>
    <row r="7" spans="1:17" x14ac:dyDescent="0.2">
      <c r="A7" s="4" t="s">
        <v>26</v>
      </c>
      <c r="B7" s="13">
        <v>1336273473.74</v>
      </c>
      <c r="C7" s="13">
        <v>1203290282.71</v>
      </c>
      <c r="D7" s="13">
        <v>132983191.02999997</v>
      </c>
      <c r="E7" s="13">
        <v>28067387.850000001</v>
      </c>
      <c r="F7" s="13">
        <v>29074134</v>
      </c>
      <c r="G7" s="14">
        <v>4.57</v>
      </c>
      <c r="H7" s="14">
        <v>0.97</v>
      </c>
      <c r="I7" s="13">
        <v>2338948.9875000003</v>
      </c>
      <c r="J7" s="15">
        <v>3</v>
      </c>
      <c r="K7" s="13">
        <v>125966344.06749997</v>
      </c>
      <c r="L7" s="13">
        <v>24944974.343333323</v>
      </c>
      <c r="M7" s="13">
        <v>20099285.343333323</v>
      </c>
      <c r="N7" s="197">
        <v>43831</v>
      </c>
      <c r="O7" s="16">
        <v>45658</v>
      </c>
      <c r="P7" s="13">
        <v>1681565.46</v>
      </c>
      <c r="Q7" s="242" t="e">
        <v>#VALUE!</v>
      </c>
    </row>
    <row r="8" spans="1:17" x14ac:dyDescent="0.2">
      <c r="A8" s="4" t="s">
        <v>64</v>
      </c>
      <c r="B8" s="13">
        <v>120899760.39</v>
      </c>
      <c r="C8" s="13">
        <v>105175512.62</v>
      </c>
      <c r="D8" s="13">
        <v>15724247.769999996</v>
      </c>
      <c r="E8" s="13">
        <v>1412406.75</v>
      </c>
      <c r="F8" s="13">
        <v>3521015</v>
      </c>
      <c r="G8" s="14">
        <v>4.47</v>
      </c>
      <c r="H8" s="14">
        <v>0.4</v>
      </c>
      <c r="I8" s="13">
        <v>117700.5625</v>
      </c>
      <c r="J8" s="15">
        <v>3</v>
      </c>
      <c r="K8" s="13">
        <v>15371146.082499996</v>
      </c>
      <c r="L8" s="13">
        <v>2894072.5899999985</v>
      </c>
      <c r="M8" s="13">
        <v>2307236.7566666654</v>
      </c>
      <c r="N8" s="197">
        <v>43831</v>
      </c>
      <c r="O8" s="16">
        <v>45658</v>
      </c>
      <c r="P8" s="13">
        <v>574707.97</v>
      </c>
      <c r="Q8" s="242" t="e">
        <v>#VALUE!</v>
      </c>
    </row>
    <row r="9" spans="1:17" x14ac:dyDescent="0.2">
      <c r="A9" s="4" t="s">
        <v>36</v>
      </c>
      <c r="B9" s="13">
        <v>853256279</v>
      </c>
      <c r="C9" s="13">
        <v>779230233.22000003</v>
      </c>
      <c r="D9" s="13">
        <v>74026045.779999971</v>
      </c>
      <c r="E9" s="13">
        <v>15834276.42</v>
      </c>
      <c r="F9" s="13">
        <v>18836467</v>
      </c>
      <c r="G9" s="14">
        <v>3.93</v>
      </c>
      <c r="H9" s="14">
        <v>0.84</v>
      </c>
      <c r="I9" s="13">
        <v>1319523.0349999999</v>
      </c>
      <c r="J9" s="15">
        <v>0</v>
      </c>
      <c r="K9" s="13">
        <v>74026045.779999971</v>
      </c>
      <c r="L9" s="13" t="s">
        <v>193</v>
      </c>
      <c r="M9" s="13" t="s">
        <v>193</v>
      </c>
      <c r="N9" s="197">
        <v>43739</v>
      </c>
      <c r="O9" s="16">
        <v>45566</v>
      </c>
      <c r="P9" s="13">
        <v>778021.6</v>
      </c>
      <c r="Q9" s="242" t="e">
        <v>#VALUE!</v>
      </c>
    </row>
    <row r="10" spans="1:17" x14ac:dyDescent="0.2">
      <c r="A10" s="4" t="s">
        <v>44</v>
      </c>
      <c r="B10" s="13">
        <v>493558716</v>
      </c>
      <c r="C10" s="13">
        <v>450592208.32999998</v>
      </c>
      <c r="D10" s="13">
        <v>42966507.670000017</v>
      </c>
      <c r="E10" s="13">
        <v>9210594.2100000009</v>
      </c>
      <c r="F10" s="13">
        <v>11038481</v>
      </c>
      <c r="G10" s="14">
        <v>3.89</v>
      </c>
      <c r="H10" s="14">
        <v>0.83</v>
      </c>
      <c r="I10" s="13">
        <v>767549.51750000007</v>
      </c>
      <c r="J10" s="15">
        <v>3</v>
      </c>
      <c r="K10" s="13">
        <v>40663859.117500015</v>
      </c>
      <c r="L10" s="13">
        <v>6963181.8900000053</v>
      </c>
      <c r="M10" s="13">
        <v>5123435.0566666722</v>
      </c>
      <c r="N10" s="197">
        <v>43831</v>
      </c>
      <c r="O10" s="16">
        <v>45658</v>
      </c>
      <c r="P10" s="13">
        <v>1207588.72</v>
      </c>
      <c r="Q10" s="242" t="e">
        <v>#VALUE!</v>
      </c>
    </row>
    <row r="11" spans="1:17" x14ac:dyDescent="0.2">
      <c r="A11" s="4" t="s">
        <v>47</v>
      </c>
      <c r="B11" s="13">
        <v>187480557</v>
      </c>
      <c r="C11" s="13">
        <v>173850972.44999999</v>
      </c>
      <c r="D11" s="13">
        <v>13629584.550000012</v>
      </c>
      <c r="E11" s="13">
        <v>2427489.4300000002</v>
      </c>
      <c r="F11" s="13">
        <v>3515583</v>
      </c>
      <c r="G11" s="14">
        <v>3.88</v>
      </c>
      <c r="H11" s="14">
        <v>0.69</v>
      </c>
      <c r="I11" s="13">
        <v>202290.78583333336</v>
      </c>
      <c r="J11" s="15">
        <v>9</v>
      </c>
      <c r="K11" s="13">
        <v>11808967.477500012</v>
      </c>
      <c r="L11" s="13">
        <v>733157.61666666798</v>
      </c>
      <c r="M11" s="13">
        <v>537847.45000000135</v>
      </c>
      <c r="N11" s="197">
        <v>43647</v>
      </c>
      <c r="O11" s="16">
        <v>45839</v>
      </c>
      <c r="P11" s="13">
        <v>54624.06</v>
      </c>
      <c r="Q11" s="242" t="e">
        <v>#VALUE!</v>
      </c>
    </row>
    <row r="12" spans="1:17" x14ac:dyDescent="0.2">
      <c r="A12" s="4" t="s">
        <v>30</v>
      </c>
      <c r="B12" s="13">
        <v>1168142277.4400001</v>
      </c>
      <c r="C12" s="13">
        <v>1070486705.88</v>
      </c>
      <c r="D12" s="13">
        <v>97655571.560000062</v>
      </c>
      <c r="E12" s="13">
        <v>18108153.620000001</v>
      </c>
      <c r="F12" s="13">
        <v>26355588</v>
      </c>
      <c r="G12" s="14">
        <v>3.71</v>
      </c>
      <c r="H12" s="14">
        <v>0.69</v>
      </c>
      <c r="I12" s="13">
        <v>1509012.8016666668</v>
      </c>
      <c r="J12" s="15">
        <v>9</v>
      </c>
      <c r="K12" s="13">
        <v>84074456.345000058</v>
      </c>
      <c r="L12" s="13">
        <v>4993821.7288888954</v>
      </c>
      <c r="M12" s="13">
        <v>3529622.3955555623</v>
      </c>
      <c r="N12" s="197">
        <v>43647</v>
      </c>
      <c r="O12" s="16">
        <v>45839</v>
      </c>
      <c r="P12" s="13">
        <v>2668384.4300000002</v>
      </c>
      <c r="Q12" s="242" t="e">
        <v>#VALUE!</v>
      </c>
    </row>
    <row r="13" spans="1:17" x14ac:dyDescent="0.2">
      <c r="A13" s="4" t="s">
        <v>52</v>
      </c>
      <c r="B13" s="13">
        <v>1945106991</v>
      </c>
      <c r="C13" s="13">
        <v>1863048217.8299999</v>
      </c>
      <c r="D13" s="13">
        <v>82058773.170000076</v>
      </c>
      <c r="E13" s="13">
        <v>20231995.23</v>
      </c>
      <c r="F13" s="13">
        <v>22131554</v>
      </c>
      <c r="G13" s="14">
        <v>3.71</v>
      </c>
      <c r="H13" s="14">
        <v>0.91</v>
      </c>
      <c r="I13" s="13">
        <v>1685999.6025</v>
      </c>
      <c r="J13" s="15">
        <v>9</v>
      </c>
      <c r="K13" s="13">
        <v>66884776.747500077</v>
      </c>
      <c r="L13" s="13">
        <v>4199518.3522222303</v>
      </c>
      <c r="M13" s="13">
        <v>2969987.5744444528</v>
      </c>
      <c r="N13" s="197">
        <v>43647</v>
      </c>
      <c r="O13" s="16">
        <v>45839</v>
      </c>
      <c r="P13" s="13">
        <v>2762092.95</v>
      </c>
      <c r="Q13" s="242" t="e">
        <v>#VALUE!</v>
      </c>
    </row>
    <row r="14" spans="1:17" x14ac:dyDescent="0.2">
      <c r="A14" s="4" t="s">
        <v>39</v>
      </c>
      <c r="B14" s="13">
        <v>265120500</v>
      </c>
      <c r="C14" s="13">
        <v>242756576.69</v>
      </c>
      <c r="D14" s="13">
        <v>22363923.310000002</v>
      </c>
      <c r="E14" s="13">
        <v>10930363.07</v>
      </c>
      <c r="F14" s="13">
        <v>6172506</v>
      </c>
      <c r="G14" s="14">
        <v>3.62</v>
      </c>
      <c r="H14" s="14">
        <v>1.77</v>
      </c>
      <c r="I14" s="13">
        <v>910863.58916666673</v>
      </c>
      <c r="J14" s="15">
        <v>6</v>
      </c>
      <c r="K14" s="13">
        <v>16898741.775000002</v>
      </c>
      <c r="L14" s="13">
        <v>1669818.551666667</v>
      </c>
      <c r="M14" s="13">
        <v>1155443.051666667</v>
      </c>
      <c r="N14" s="197">
        <v>43922</v>
      </c>
      <c r="O14" s="16">
        <v>45748</v>
      </c>
      <c r="P14" s="13">
        <v>180272.09</v>
      </c>
      <c r="Q14" s="242" t="e">
        <v>#VALUE!</v>
      </c>
    </row>
    <row r="15" spans="1:17" x14ac:dyDescent="0.2">
      <c r="A15" s="4" t="s">
        <v>60</v>
      </c>
      <c r="B15" s="13">
        <v>794219275</v>
      </c>
      <c r="C15" s="13">
        <v>725737864.63999999</v>
      </c>
      <c r="D15" s="13">
        <v>68481410.360000014</v>
      </c>
      <c r="E15" s="13">
        <v>13443571.51</v>
      </c>
      <c r="F15" s="13">
        <v>19107637</v>
      </c>
      <c r="G15" s="14">
        <v>3.58</v>
      </c>
      <c r="H15" s="14">
        <v>0.7</v>
      </c>
      <c r="I15" s="13">
        <v>1120297.6258333332</v>
      </c>
      <c r="J15" s="15">
        <v>9</v>
      </c>
      <c r="K15" s="13">
        <v>58398731.727500014</v>
      </c>
      <c r="L15" s="13">
        <v>3362904.0400000014</v>
      </c>
      <c r="M15" s="13">
        <v>2301368.6511111129</v>
      </c>
      <c r="N15" s="197">
        <v>43647</v>
      </c>
      <c r="O15" s="16">
        <v>45839</v>
      </c>
      <c r="P15" s="13">
        <v>914991.18</v>
      </c>
      <c r="Q15" s="242" t="e">
        <v>#VALUE!</v>
      </c>
    </row>
    <row r="16" spans="1:17" x14ac:dyDescent="0.2">
      <c r="A16" s="4" t="s">
        <v>40</v>
      </c>
      <c r="B16" s="13">
        <v>500565228.91000003</v>
      </c>
      <c r="C16" s="13">
        <v>462928843.32999998</v>
      </c>
      <c r="D16" s="13">
        <v>37636385.580000043</v>
      </c>
      <c r="E16" s="13">
        <v>5532802.7400000002</v>
      </c>
      <c r="F16" s="13">
        <v>10539100</v>
      </c>
      <c r="G16" s="14">
        <v>3.57</v>
      </c>
      <c r="H16" s="14">
        <v>0.52</v>
      </c>
      <c r="I16" s="13">
        <v>461066.89500000002</v>
      </c>
      <c r="J16" s="15">
        <v>9</v>
      </c>
      <c r="K16" s="13">
        <v>33486783.525000043</v>
      </c>
      <c r="L16" s="13">
        <v>1839798.3977777825</v>
      </c>
      <c r="M16" s="13">
        <v>1254292.842222227</v>
      </c>
      <c r="N16" s="197">
        <v>43647</v>
      </c>
      <c r="O16" s="16">
        <v>45839</v>
      </c>
      <c r="P16" s="13">
        <v>628659.81999999995</v>
      </c>
      <c r="Q16" s="242" t="e">
        <v>#VALUE!</v>
      </c>
    </row>
    <row r="17" spans="1:17" x14ac:dyDescent="0.2">
      <c r="A17" s="4" t="s">
        <v>19</v>
      </c>
      <c r="B17" s="13">
        <v>1438428739.9100001</v>
      </c>
      <c r="C17" s="13">
        <v>1331757657.6099999</v>
      </c>
      <c r="D17" s="13">
        <v>106671082.30000019</v>
      </c>
      <c r="E17" s="13">
        <v>30285128.309999999</v>
      </c>
      <c r="F17" s="13">
        <v>30065955</v>
      </c>
      <c r="G17" s="14">
        <v>3.55</v>
      </c>
      <c r="H17" s="14">
        <v>1.01</v>
      </c>
      <c r="I17" s="13">
        <v>2523760.6924999999</v>
      </c>
      <c r="J17" s="15">
        <v>9</v>
      </c>
      <c r="K17" s="13">
        <v>83957236.067500189</v>
      </c>
      <c r="L17" s="13">
        <v>5171019.1444444656</v>
      </c>
      <c r="M17" s="13">
        <v>3500688.3111111321</v>
      </c>
      <c r="N17" s="197">
        <v>43647</v>
      </c>
      <c r="O17" s="16">
        <v>45839</v>
      </c>
      <c r="P17" s="13">
        <v>2810892.56</v>
      </c>
      <c r="Q17" s="242" t="e">
        <v>#VALUE!</v>
      </c>
    </row>
    <row r="18" spans="1:17" x14ac:dyDescent="0.2">
      <c r="A18" s="4" t="s">
        <v>53</v>
      </c>
      <c r="B18" s="13">
        <v>203184695.25999999</v>
      </c>
      <c r="C18" s="13">
        <v>183381620.25999999</v>
      </c>
      <c r="D18" s="13">
        <v>19803075</v>
      </c>
      <c r="E18" s="13">
        <v>7558040.54</v>
      </c>
      <c r="F18" s="13">
        <v>5655134</v>
      </c>
      <c r="G18" s="14">
        <v>3.5</v>
      </c>
      <c r="H18" s="14">
        <v>1.34</v>
      </c>
      <c r="I18" s="13">
        <v>629836.71166666667</v>
      </c>
      <c r="J18" s="15">
        <v>9</v>
      </c>
      <c r="K18" s="13">
        <v>14134544.594999999</v>
      </c>
      <c r="L18" s="13">
        <v>943645.22222222225</v>
      </c>
      <c r="M18" s="13" t="s">
        <v>192</v>
      </c>
      <c r="N18" s="197">
        <v>43647</v>
      </c>
      <c r="O18" s="16">
        <v>45839</v>
      </c>
      <c r="P18" s="13">
        <v>1640590.59</v>
      </c>
      <c r="Q18" s="242" t="e">
        <v>#VALUE!</v>
      </c>
    </row>
    <row r="19" spans="1:17" x14ac:dyDescent="0.2">
      <c r="A19" s="4" t="s">
        <v>18</v>
      </c>
      <c r="B19" s="13">
        <v>800464324.92999995</v>
      </c>
      <c r="C19" s="13">
        <v>742372199.25</v>
      </c>
      <c r="D19" s="13">
        <v>58092125.679999948</v>
      </c>
      <c r="E19" s="13">
        <v>24349302.239999998</v>
      </c>
      <c r="F19" s="13">
        <v>17480755</v>
      </c>
      <c r="G19" s="14">
        <v>3.32</v>
      </c>
      <c r="H19" s="14">
        <v>1.39</v>
      </c>
      <c r="I19" s="13">
        <v>2029108.5199999998</v>
      </c>
      <c r="J19" s="15">
        <v>9</v>
      </c>
      <c r="K19" s="13">
        <v>39830148.999999948</v>
      </c>
      <c r="L19" s="13">
        <v>2570068.408888883</v>
      </c>
      <c r="M19" s="13" t="s">
        <v>192</v>
      </c>
      <c r="N19" s="197">
        <v>43647</v>
      </c>
      <c r="O19" s="16">
        <v>45839</v>
      </c>
      <c r="P19" s="13">
        <v>1938217.93</v>
      </c>
      <c r="Q19" s="242" t="e">
        <v>#VALUE!</v>
      </c>
    </row>
    <row r="20" spans="1:17" x14ac:dyDescent="0.2">
      <c r="A20" s="4" t="s">
        <v>43</v>
      </c>
      <c r="B20" s="13">
        <v>300551063.33999997</v>
      </c>
      <c r="C20" s="13">
        <v>278265656.74000001</v>
      </c>
      <c r="D20" s="13">
        <v>22285406.599999964</v>
      </c>
      <c r="E20" s="13">
        <v>6647060.1299999999</v>
      </c>
      <c r="F20" s="13">
        <v>6730317</v>
      </c>
      <c r="G20" s="14">
        <v>3.31</v>
      </c>
      <c r="H20" s="14">
        <v>0.99</v>
      </c>
      <c r="I20" s="13">
        <v>553921.67749999999</v>
      </c>
      <c r="J20" s="15">
        <v>9</v>
      </c>
      <c r="K20" s="13">
        <v>17300111.502499964</v>
      </c>
      <c r="L20" s="13">
        <v>980530.28888888494</v>
      </c>
      <c r="M20" s="13">
        <v>606623.78888888494</v>
      </c>
      <c r="N20" s="197">
        <v>43647</v>
      </c>
      <c r="O20" s="16">
        <v>45839</v>
      </c>
      <c r="P20" s="13">
        <v>160229.78</v>
      </c>
      <c r="Q20" s="242" t="e">
        <v>#VALUE!</v>
      </c>
    </row>
    <row r="21" spans="1:17" x14ac:dyDescent="0.2">
      <c r="A21" s="4" t="s">
        <v>54</v>
      </c>
      <c r="B21" s="13">
        <v>1022430792.45</v>
      </c>
      <c r="C21" s="13">
        <v>956761940.20000005</v>
      </c>
      <c r="D21" s="13">
        <v>65668852.25</v>
      </c>
      <c r="E21" s="13">
        <v>23503188.34</v>
      </c>
      <c r="F21" s="13">
        <v>19809810</v>
      </c>
      <c r="G21" s="14">
        <v>3.31</v>
      </c>
      <c r="H21" s="14">
        <v>1.19</v>
      </c>
      <c r="I21" s="13">
        <v>1958599.0283333333</v>
      </c>
      <c r="J21" s="15">
        <v>6</v>
      </c>
      <c r="K21" s="13">
        <v>53917258.079999998</v>
      </c>
      <c r="L21" s="13">
        <v>4341538.708333333</v>
      </c>
      <c r="M21" s="13">
        <v>2690721.2083333335</v>
      </c>
      <c r="N21" s="197">
        <v>43922</v>
      </c>
      <c r="O21" s="16">
        <v>45748</v>
      </c>
      <c r="P21" s="13">
        <v>1293621</v>
      </c>
      <c r="Q21" s="242" t="e">
        <v>#VALUE!</v>
      </c>
    </row>
    <row r="22" spans="1:17" x14ac:dyDescent="0.2">
      <c r="A22" s="4" t="s">
        <v>16</v>
      </c>
      <c r="B22" s="13">
        <v>104394118</v>
      </c>
      <c r="C22" s="13">
        <v>95626189.700000003</v>
      </c>
      <c r="D22" s="13">
        <v>8767928.299999997</v>
      </c>
      <c r="E22" s="13">
        <v>1160080.1100000001</v>
      </c>
      <c r="F22" s="13">
        <v>2677355</v>
      </c>
      <c r="G22" s="14">
        <v>3.27</v>
      </c>
      <c r="H22" s="14">
        <v>0.43</v>
      </c>
      <c r="I22" s="13">
        <v>96673.342500000013</v>
      </c>
      <c r="J22" s="15">
        <v>9</v>
      </c>
      <c r="K22" s="13">
        <v>7897868.2174999965</v>
      </c>
      <c r="L22" s="13">
        <v>379246.47777777747</v>
      </c>
      <c r="M22" s="13">
        <v>230504.53333333301</v>
      </c>
      <c r="N22" s="197">
        <v>43647</v>
      </c>
      <c r="O22" s="16">
        <v>45839</v>
      </c>
      <c r="P22" s="13">
        <v>2120.7199999999998</v>
      </c>
      <c r="Q22" s="242" t="e">
        <v>#VALUE!</v>
      </c>
    </row>
    <row r="23" spans="1:17" x14ac:dyDescent="0.2">
      <c r="A23" s="4" t="s">
        <v>38</v>
      </c>
      <c r="B23" s="13">
        <v>1010324720</v>
      </c>
      <c r="C23" s="13">
        <v>938090339.40999997</v>
      </c>
      <c r="D23" s="13">
        <v>72234380.590000033</v>
      </c>
      <c r="E23" s="13">
        <v>24318515.809999999</v>
      </c>
      <c r="F23" s="13">
        <v>23059848</v>
      </c>
      <c r="G23" s="14">
        <v>3.13</v>
      </c>
      <c r="H23" s="14">
        <v>1.05</v>
      </c>
      <c r="I23" s="13">
        <v>2026542.9841666666</v>
      </c>
      <c r="J23" s="15">
        <v>6</v>
      </c>
      <c r="K23" s="13">
        <v>60075122.685000032</v>
      </c>
      <c r="L23" s="13">
        <v>4352447.4316666722</v>
      </c>
      <c r="M23" s="13">
        <v>2430793.4316666722</v>
      </c>
      <c r="N23" s="197">
        <v>43922</v>
      </c>
      <c r="O23" s="16">
        <v>45748</v>
      </c>
      <c r="P23" s="13">
        <v>847080.47</v>
      </c>
      <c r="Q23" s="242" t="e">
        <v>#VALUE!</v>
      </c>
    </row>
    <row r="24" spans="1:17" x14ac:dyDescent="0.2">
      <c r="A24" s="4" t="s">
        <v>55</v>
      </c>
      <c r="B24" s="13">
        <v>254239457</v>
      </c>
      <c r="C24" s="13">
        <v>236612203.69999999</v>
      </c>
      <c r="D24" s="13">
        <v>17627253.300000012</v>
      </c>
      <c r="E24" s="13">
        <v>4886404.58</v>
      </c>
      <c r="F24" s="13">
        <v>5680880</v>
      </c>
      <c r="G24" s="14">
        <v>3.1</v>
      </c>
      <c r="H24" s="14">
        <v>0.86</v>
      </c>
      <c r="I24" s="13">
        <v>407200.38166666665</v>
      </c>
      <c r="J24" s="15">
        <v>3</v>
      </c>
      <c r="K24" s="13">
        <v>16405652.155000012</v>
      </c>
      <c r="L24" s="13">
        <v>2088497.7666666706</v>
      </c>
      <c r="M24" s="13">
        <v>1141684.4333333373</v>
      </c>
      <c r="N24" s="197">
        <v>43831</v>
      </c>
      <c r="O24" s="16">
        <v>45658</v>
      </c>
      <c r="P24" s="13">
        <v>0</v>
      </c>
      <c r="Q24" s="242" t="e">
        <v>#VALUE!</v>
      </c>
    </row>
    <row r="25" spans="1:17" x14ac:dyDescent="0.2">
      <c r="A25" s="4" t="s">
        <v>51</v>
      </c>
      <c r="B25" s="13">
        <v>2001064841.29</v>
      </c>
      <c r="C25" s="13">
        <v>1884597600.24</v>
      </c>
      <c r="D25" s="13">
        <v>116467241.04999995</v>
      </c>
      <c r="E25" s="13">
        <v>38752618.439999998</v>
      </c>
      <c r="F25" s="13">
        <v>40779947</v>
      </c>
      <c r="G25" s="14">
        <v>2.86</v>
      </c>
      <c r="H25" s="14">
        <v>0.95</v>
      </c>
      <c r="I25" s="13">
        <v>3229384.8699999996</v>
      </c>
      <c r="J25" s="15">
        <v>3</v>
      </c>
      <c r="K25" s="13">
        <v>106779086.43999995</v>
      </c>
      <c r="L25" s="13">
        <v>11635782.349999985</v>
      </c>
      <c r="M25" s="13">
        <v>4839124.5166666508</v>
      </c>
      <c r="N25" s="197">
        <v>43831</v>
      </c>
      <c r="O25" s="16">
        <v>45658</v>
      </c>
      <c r="P25" s="13">
        <v>3317872.68</v>
      </c>
      <c r="Q25" s="242" t="e">
        <v>#VALUE!</v>
      </c>
    </row>
    <row r="26" spans="1:17" x14ac:dyDescent="0.2">
      <c r="A26" s="4" t="s">
        <v>20</v>
      </c>
      <c r="B26" s="13">
        <v>392634217.93000001</v>
      </c>
      <c r="C26" s="13">
        <v>366067151.75</v>
      </c>
      <c r="D26" s="13">
        <v>26567066.180000007</v>
      </c>
      <c r="E26" s="13">
        <v>14547238.16</v>
      </c>
      <c r="F26" s="13">
        <v>9305817</v>
      </c>
      <c r="G26" s="14">
        <v>2.85</v>
      </c>
      <c r="H26" s="14">
        <v>1.56</v>
      </c>
      <c r="I26" s="13">
        <v>1212269.8466666667</v>
      </c>
      <c r="J26" s="15">
        <v>6</v>
      </c>
      <c r="K26" s="13">
        <v>19293447.100000009</v>
      </c>
      <c r="L26" s="13">
        <v>1325905.3633333344</v>
      </c>
      <c r="M26" s="13" t="s">
        <v>192</v>
      </c>
      <c r="N26" s="197">
        <v>43556</v>
      </c>
      <c r="O26" s="16">
        <v>45748</v>
      </c>
      <c r="P26" s="13">
        <v>-785020.26</v>
      </c>
      <c r="Q26" s="242" t="e">
        <v>#VALUE!</v>
      </c>
    </row>
    <row r="27" spans="1:17" x14ac:dyDescent="0.2">
      <c r="A27" s="4" t="s">
        <v>45</v>
      </c>
      <c r="B27" s="13">
        <v>1228777673.53</v>
      </c>
      <c r="C27" s="13">
        <v>1096176690.1199999</v>
      </c>
      <c r="D27" s="13">
        <v>132600983.41000009</v>
      </c>
      <c r="E27" s="13">
        <v>45167962.060000002</v>
      </c>
      <c r="F27" s="13">
        <v>47456120</v>
      </c>
      <c r="G27" s="14">
        <v>2.79</v>
      </c>
      <c r="H27" s="14">
        <v>0.95</v>
      </c>
      <c r="I27" s="13">
        <v>3763996.8383333334</v>
      </c>
      <c r="J27" s="15">
        <v>3</v>
      </c>
      <c r="K27" s="13">
        <v>121308992.89500009</v>
      </c>
      <c r="L27" s="13">
        <v>12562914.470000029</v>
      </c>
      <c r="M27" s="13">
        <v>4653561.1366666956</v>
      </c>
      <c r="N27" s="197">
        <v>43831</v>
      </c>
      <c r="O27" s="16">
        <v>45658</v>
      </c>
      <c r="P27" s="13">
        <v>3966523</v>
      </c>
      <c r="Q27" s="242" t="e">
        <v>#VALUE!</v>
      </c>
    </row>
    <row r="28" spans="1:17" x14ac:dyDescent="0.2">
      <c r="A28" s="4" t="s">
        <v>29</v>
      </c>
      <c r="B28" s="13">
        <v>675052951</v>
      </c>
      <c r="C28" s="13">
        <v>634171028.24000001</v>
      </c>
      <c r="D28" s="13">
        <v>40881922.75999999</v>
      </c>
      <c r="E28" s="13">
        <v>8304408.0199999996</v>
      </c>
      <c r="F28" s="13">
        <v>14786581</v>
      </c>
      <c r="G28" s="14">
        <v>2.76</v>
      </c>
      <c r="H28" s="14">
        <v>0.56000000000000005</v>
      </c>
      <c r="I28" s="13">
        <v>692034.00166666659</v>
      </c>
      <c r="J28" s="15">
        <v>3</v>
      </c>
      <c r="K28" s="13">
        <v>38805820.754999988</v>
      </c>
      <c r="L28" s="13">
        <v>3769586.9199999967</v>
      </c>
      <c r="M28" s="13">
        <v>1305156.7533333302</v>
      </c>
      <c r="N28" s="197">
        <v>43466</v>
      </c>
      <c r="O28" s="16">
        <v>45658</v>
      </c>
      <c r="P28" s="13">
        <v>0</v>
      </c>
      <c r="Q28" s="242" t="e">
        <v>#VALUE!</v>
      </c>
    </row>
    <row r="29" spans="1:17" x14ac:dyDescent="0.2">
      <c r="A29" s="4" t="s">
        <v>28</v>
      </c>
      <c r="B29" s="13">
        <v>1059732308</v>
      </c>
      <c r="C29" s="13">
        <v>993175287.62</v>
      </c>
      <c r="D29" s="13">
        <v>66557020.379999995</v>
      </c>
      <c r="E29" s="13">
        <v>20608980.469999999</v>
      </c>
      <c r="F29" s="13">
        <v>24168777</v>
      </c>
      <c r="G29" s="14">
        <v>2.75</v>
      </c>
      <c r="H29" s="14">
        <v>0.85</v>
      </c>
      <c r="I29" s="13">
        <v>1717415.0391666666</v>
      </c>
      <c r="J29" s="15">
        <v>3</v>
      </c>
      <c r="K29" s="13">
        <v>61404775.262499996</v>
      </c>
      <c r="L29" s="13">
        <v>6073155.4599999981</v>
      </c>
      <c r="M29" s="13">
        <v>2045025.9599999983</v>
      </c>
      <c r="N29" s="197">
        <v>43831</v>
      </c>
      <c r="O29" s="16">
        <v>45658</v>
      </c>
      <c r="P29" s="13">
        <v>1599987.36</v>
      </c>
      <c r="Q29" s="242" t="e">
        <v>#VALUE!</v>
      </c>
    </row>
    <row r="30" spans="1:17" x14ac:dyDescent="0.2">
      <c r="A30" s="4" t="s">
        <v>37</v>
      </c>
      <c r="B30" s="13">
        <v>1239472339.1700001</v>
      </c>
      <c r="C30" s="13">
        <v>1173451263.46</v>
      </c>
      <c r="D30" s="13">
        <v>66021075.710000038</v>
      </c>
      <c r="E30" s="13">
        <v>19075943.719999999</v>
      </c>
      <c r="F30" s="13">
        <v>24088947</v>
      </c>
      <c r="G30" s="14">
        <v>2.74</v>
      </c>
      <c r="H30" s="14">
        <v>0.79</v>
      </c>
      <c r="I30" s="13">
        <v>1589661.9766666666</v>
      </c>
      <c r="J30" s="15">
        <v>9</v>
      </c>
      <c r="K30" s="13">
        <v>51714117.920000039</v>
      </c>
      <c r="L30" s="13">
        <v>1982575.7455555599</v>
      </c>
      <c r="M30" s="13" t="s">
        <v>192</v>
      </c>
      <c r="N30" s="197">
        <v>43647</v>
      </c>
      <c r="O30" s="16">
        <v>45839</v>
      </c>
      <c r="P30" s="13">
        <v>619335.79</v>
      </c>
      <c r="Q30" s="242" t="e">
        <v>#VALUE!</v>
      </c>
    </row>
    <row r="31" spans="1:17" x14ac:dyDescent="0.2">
      <c r="A31" s="4" t="s">
        <v>24</v>
      </c>
      <c r="B31" s="13">
        <v>1642297566.0699999</v>
      </c>
      <c r="C31" s="13">
        <v>1534628880.77</v>
      </c>
      <c r="D31" s="13">
        <v>107668685.29999995</v>
      </c>
      <c r="E31" s="13">
        <v>33895037.93</v>
      </c>
      <c r="F31" s="13">
        <v>40984884</v>
      </c>
      <c r="G31" s="14">
        <v>2.63</v>
      </c>
      <c r="H31" s="14">
        <v>0.83</v>
      </c>
      <c r="I31" s="13">
        <v>2824586.4941666666</v>
      </c>
      <c r="J31" s="15">
        <v>9</v>
      </c>
      <c r="K31" s="13">
        <v>82247406.852499962</v>
      </c>
      <c r="L31" s="13">
        <v>2855435.2555555501</v>
      </c>
      <c r="M31" s="13" t="s">
        <v>192</v>
      </c>
      <c r="N31" s="197">
        <v>43647</v>
      </c>
      <c r="O31" s="16">
        <v>45839</v>
      </c>
      <c r="P31" s="13">
        <v>3241600.87</v>
      </c>
      <c r="Q31" s="242" t="e">
        <v>#VALUE!</v>
      </c>
    </row>
    <row r="32" spans="1:17" x14ac:dyDescent="0.2">
      <c r="A32" s="4" t="s">
        <v>33</v>
      </c>
      <c r="B32" s="13">
        <v>314446387.48000002</v>
      </c>
      <c r="C32" s="13">
        <v>292630935.55000001</v>
      </c>
      <c r="D32" s="13">
        <v>21815451.930000007</v>
      </c>
      <c r="E32" s="13">
        <v>9784275.3499999996</v>
      </c>
      <c r="F32" s="13">
        <v>8369791</v>
      </c>
      <c r="G32" s="14">
        <v>2.61</v>
      </c>
      <c r="H32" s="14">
        <v>1.17</v>
      </c>
      <c r="I32" s="13">
        <v>815356.27916666667</v>
      </c>
      <c r="J32" s="15">
        <v>9</v>
      </c>
      <c r="K32" s="13">
        <v>14477245.417500008</v>
      </c>
      <c r="L32" s="13" t="s">
        <v>192</v>
      </c>
      <c r="M32" s="13" t="s">
        <v>192</v>
      </c>
      <c r="N32" s="197">
        <v>43647</v>
      </c>
      <c r="O32" s="16">
        <v>45839</v>
      </c>
      <c r="P32" s="13">
        <v>648606.59</v>
      </c>
      <c r="Q32" s="242" t="e">
        <v>#VALUE!</v>
      </c>
    </row>
    <row r="33" spans="1:17" x14ac:dyDescent="0.2">
      <c r="A33" s="4" t="s">
        <v>21</v>
      </c>
      <c r="B33" s="13">
        <v>528328839.02999997</v>
      </c>
      <c r="C33" s="13">
        <v>492440851.95999998</v>
      </c>
      <c r="D33" s="13">
        <v>35887987.069999993</v>
      </c>
      <c r="E33" s="13">
        <v>14971780.85</v>
      </c>
      <c r="F33" s="13">
        <v>13880022</v>
      </c>
      <c r="G33" s="14">
        <v>2.59</v>
      </c>
      <c r="H33" s="14">
        <v>1.08</v>
      </c>
      <c r="I33" s="13">
        <v>1247648.4041666666</v>
      </c>
      <c r="J33" s="15">
        <v>9</v>
      </c>
      <c r="K33" s="13">
        <v>24659151.432499994</v>
      </c>
      <c r="L33" s="13" t="s">
        <v>192</v>
      </c>
      <c r="M33" s="13" t="s">
        <v>192</v>
      </c>
      <c r="N33" s="197">
        <v>43647</v>
      </c>
      <c r="O33" s="16">
        <v>45839</v>
      </c>
      <c r="P33" s="13">
        <v>460682</v>
      </c>
      <c r="Q33" s="242" t="e">
        <v>#VALUE!</v>
      </c>
    </row>
    <row r="34" spans="1:17" x14ac:dyDescent="0.2">
      <c r="A34" s="4" t="s">
        <v>56</v>
      </c>
      <c r="B34" s="13">
        <v>1154905413</v>
      </c>
      <c r="C34" s="13">
        <v>1087078316.5999999</v>
      </c>
      <c r="D34" s="13">
        <v>67827096.400000095</v>
      </c>
      <c r="E34" s="13">
        <v>23210517.109999999</v>
      </c>
      <c r="F34" s="13">
        <v>27571438</v>
      </c>
      <c r="G34" s="14">
        <v>2.46</v>
      </c>
      <c r="H34" s="14">
        <v>0.84</v>
      </c>
      <c r="I34" s="13">
        <v>1934209.7591666665</v>
      </c>
      <c r="J34" s="15">
        <v>9</v>
      </c>
      <c r="K34" s="13">
        <v>50419208.5675001</v>
      </c>
      <c r="L34" s="13" t="s">
        <v>192</v>
      </c>
      <c r="M34" s="13" t="s">
        <v>192</v>
      </c>
      <c r="N34" s="197">
        <v>43647</v>
      </c>
      <c r="O34" s="16">
        <v>45839</v>
      </c>
      <c r="P34" s="13">
        <v>2078786.51</v>
      </c>
      <c r="Q34" s="242" t="e">
        <v>#VALUE!</v>
      </c>
    </row>
    <row r="35" spans="1:17" x14ac:dyDescent="0.2">
      <c r="A35" s="4" t="s">
        <v>42</v>
      </c>
      <c r="B35" s="13">
        <v>346058940</v>
      </c>
      <c r="C35" s="13">
        <v>323934581.35000002</v>
      </c>
      <c r="D35" s="13">
        <v>22124358.649999976</v>
      </c>
      <c r="E35" s="13">
        <v>5975084.9400000004</v>
      </c>
      <c r="F35" s="13">
        <v>9353201</v>
      </c>
      <c r="G35" s="14">
        <v>2.37</v>
      </c>
      <c r="H35" s="14">
        <v>0.64</v>
      </c>
      <c r="I35" s="13">
        <v>497923.74500000005</v>
      </c>
      <c r="J35" s="15">
        <v>3</v>
      </c>
      <c r="K35" s="13">
        <v>20630587.414999977</v>
      </c>
      <c r="L35" s="13">
        <v>1139318.8833333254</v>
      </c>
      <c r="M35" s="13" t="s">
        <v>192</v>
      </c>
      <c r="N35" s="197">
        <v>43831</v>
      </c>
      <c r="O35" s="16">
        <v>45658</v>
      </c>
      <c r="P35" s="13">
        <v>820922.76</v>
      </c>
      <c r="Q35" s="242" t="e">
        <v>#VALUE!</v>
      </c>
    </row>
    <row r="36" spans="1:17" x14ac:dyDescent="0.2">
      <c r="A36" s="4" t="s">
        <v>61</v>
      </c>
      <c r="B36" s="13">
        <v>522049097</v>
      </c>
      <c r="C36" s="13">
        <v>492858918.22000003</v>
      </c>
      <c r="D36" s="13">
        <v>29190178.779999971</v>
      </c>
      <c r="E36" s="13">
        <v>13021897.48</v>
      </c>
      <c r="F36" s="13">
        <v>13105608</v>
      </c>
      <c r="G36" s="14">
        <v>2.23</v>
      </c>
      <c r="H36" s="14">
        <v>0.99</v>
      </c>
      <c r="I36" s="13">
        <v>1085158.1233333333</v>
      </c>
      <c r="J36" s="15">
        <v>9</v>
      </c>
      <c r="K36" s="13">
        <v>19423755.669999972</v>
      </c>
      <c r="L36" s="13" t="s">
        <v>192</v>
      </c>
      <c r="M36" s="13" t="s">
        <v>192</v>
      </c>
      <c r="N36" s="197">
        <v>43647</v>
      </c>
      <c r="O36" s="16">
        <v>45839</v>
      </c>
      <c r="P36" s="13">
        <v>1319329.1100000001</v>
      </c>
      <c r="Q36" s="242" t="e">
        <v>#VALUE!</v>
      </c>
    </row>
    <row r="37" spans="1:17" x14ac:dyDescent="0.2">
      <c r="A37" s="4" t="s">
        <v>57</v>
      </c>
      <c r="B37" s="13">
        <v>2879313105.54</v>
      </c>
      <c r="C37" s="13">
        <v>2725656936.8800001</v>
      </c>
      <c r="D37" s="13">
        <v>153656168.65999985</v>
      </c>
      <c r="E37" s="13">
        <v>74851122.909999996</v>
      </c>
      <c r="F37" s="13">
        <v>70613641</v>
      </c>
      <c r="G37" s="14">
        <v>2.1800000000000002</v>
      </c>
      <c r="H37" s="14">
        <v>1.06</v>
      </c>
      <c r="I37" s="13">
        <v>6237593.5758333327</v>
      </c>
      <c r="J37" s="15">
        <v>0</v>
      </c>
      <c r="K37" s="13">
        <v>153656168.65999985</v>
      </c>
      <c r="L37" s="13" t="s">
        <v>193</v>
      </c>
      <c r="M37" s="13" t="s">
        <v>192</v>
      </c>
      <c r="N37" s="197">
        <v>44075</v>
      </c>
      <c r="O37" s="16">
        <v>45536</v>
      </c>
      <c r="P37" s="13">
        <v>6936567.3499999996</v>
      </c>
      <c r="Q37" s="242" t="e">
        <v>#VALUE!</v>
      </c>
    </row>
    <row r="38" spans="1:17" x14ac:dyDescent="0.2">
      <c r="A38" s="4" t="s">
        <v>25</v>
      </c>
      <c r="B38" s="13">
        <v>342887810.45999998</v>
      </c>
      <c r="C38" s="13">
        <v>325253487.36000001</v>
      </c>
      <c r="D38" s="13">
        <v>17634323.099999964</v>
      </c>
      <c r="E38" s="13">
        <v>7400473.8399999999</v>
      </c>
      <c r="F38" s="13">
        <v>8236180</v>
      </c>
      <c r="G38" s="14">
        <v>2.14</v>
      </c>
      <c r="H38" s="14">
        <v>0.9</v>
      </c>
      <c r="I38" s="13">
        <v>616706.15333333332</v>
      </c>
      <c r="J38" s="15">
        <v>6</v>
      </c>
      <c r="K38" s="13">
        <v>13934086.179999964</v>
      </c>
      <c r="L38" s="13" t="s">
        <v>192</v>
      </c>
      <c r="M38" s="13" t="s">
        <v>192</v>
      </c>
      <c r="N38" s="197">
        <v>43556</v>
      </c>
      <c r="O38" s="16">
        <v>45748</v>
      </c>
      <c r="P38" s="13">
        <v>0</v>
      </c>
      <c r="Q38" s="242" t="e">
        <v>#VALUE!</v>
      </c>
    </row>
    <row r="39" spans="1:17" x14ac:dyDescent="0.2">
      <c r="A39" s="4" t="s">
        <v>15</v>
      </c>
      <c r="B39" s="13">
        <v>1085275104.5</v>
      </c>
      <c r="C39" s="13">
        <v>1036556787.8</v>
      </c>
      <c r="D39" s="13">
        <v>48718316.700000048</v>
      </c>
      <c r="E39" s="13">
        <v>22937564.16</v>
      </c>
      <c r="F39" s="13">
        <v>22858857</v>
      </c>
      <c r="G39" s="14">
        <v>2.13</v>
      </c>
      <c r="H39" s="14">
        <v>1</v>
      </c>
      <c r="I39" s="13">
        <v>1911463.68</v>
      </c>
      <c r="J39" s="15">
        <v>6</v>
      </c>
      <c r="K39" s="13">
        <v>37249534.620000049</v>
      </c>
      <c r="L39" s="13" t="s">
        <v>192</v>
      </c>
      <c r="M39" s="13" t="s">
        <v>192</v>
      </c>
      <c r="N39" s="197">
        <v>43556</v>
      </c>
      <c r="O39" s="16">
        <v>45748</v>
      </c>
      <c r="P39" s="13">
        <v>1275894.1599999999</v>
      </c>
      <c r="Q39" s="242" t="e">
        <v>#VALUE!</v>
      </c>
    </row>
    <row r="40" spans="1:17" x14ac:dyDescent="0.2">
      <c r="A40" s="4" t="s">
        <v>50</v>
      </c>
      <c r="B40" s="13">
        <v>545409679.30999994</v>
      </c>
      <c r="C40" s="13">
        <v>520571648.24000001</v>
      </c>
      <c r="D40" s="13">
        <v>24838031.069999933</v>
      </c>
      <c r="E40" s="13">
        <v>15461623.93</v>
      </c>
      <c r="F40" s="13">
        <v>11656242</v>
      </c>
      <c r="G40" s="14">
        <v>2.13</v>
      </c>
      <c r="H40" s="14">
        <v>1.33</v>
      </c>
      <c r="I40" s="13">
        <v>1288468.6608333334</v>
      </c>
      <c r="J40" s="15">
        <v>3</v>
      </c>
      <c r="K40" s="13">
        <v>20972625.087499931</v>
      </c>
      <c r="L40" s="13" t="s">
        <v>192</v>
      </c>
      <c r="M40" s="13" t="s">
        <v>192</v>
      </c>
      <c r="N40" s="197">
        <v>43831</v>
      </c>
      <c r="O40" s="16">
        <v>45658</v>
      </c>
      <c r="P40" s="13">
        <v>1976088.05</v>
      </c>
      <c r="Q40" s="242" t="e">
        <v>#VALUE!</v>
      </c>
    </row>
    <row r="41" spans="1:17" x14ac:dyDescent="0.2">
      <c r="A41" s="4" t="s">
        <v>27</v>
      </c>
      <c r="B41" s="13">
        <v>1309738768.5599999</v>
      </c>
      <c r="C41" s="13">
        <v>1245559192.4000001</v>
      </c>
      <c r="D41" s="13">
        <v>64179576.159999847</v>
      </c>
      <c r="E41" s="13">
        <v>27157733.16</v>
      </c>
      <c r="F41" s="13">
        <v>30738746</v>
      </c>
      <c r="G41" s="14">
        <v>2.09</v>
      </c>
      <c r="H41" s="14">
        <v>0.88</v>
      </c>
      <c r="I41" s="13">
        <v>2263144.4300000002</v>
      </c>
      <c r="J41" s="15">
        <v>9</v>
      </c>
      <c r="K41" s="13">
        <v>43811276.289999843</v>
      </c>
      <c r="L41" s="13" t="s">
        <v>192</v>
      </c>
      <c r="M41" s="13" t="s">
        <v>192</v>
      </c>
      <c r="N41" s="197">
        <v>43647</v>
      </c>
      <c r="O41" s="16">
        <v>45839</v>
      </c>
      <c r="P41" s="13">
        <v>514370.53</v>
      </c>
      <c r="Q41" s="242" t="e">
        <v>#VALUE!</v>
      </c>
    </row>
    <row r="42" spans="1:17" x14ac:dyDescent="0.2">
      <c r="A42" s="4" t="s">
        <v>31</v>
      </c>
      <c r="B42" s="13">
        <v>1205115490</v>
      </c>
      <c r="C42" s="13">
        <v>1158084603.4100001</v>
      </c>
      <c r="D42" s="13">
        <v>47030886.589999914</v>
      </c>
      <c r="E42" s="13">
        <v>24731825.510000002</v>
      </c>
      <c r="F42" s="13">
        <v>22499042</v>
      </c>
      <c r="G42" s="14">
        <v>2.09</v>
      </c>
      <c r="H42" s="14">
        <v>1.1000000000000001</v>
      </c>
      <c r="I42" s="13">
        <v>2060985.4591666667</v>
      </c>
      <c r="J42" s="15">
        <v>6</v>
      </c>
      <c r="K42" s="13">
        <v>34664973.834999911</v>
      </c>
      <c r="L42" s="13" t="s">
        <v>192</v>
      </c>
      <c r="M42" s="13" t="s">
        <v>192</v>
      </c>
      <c r="N42" s="197">
        <v>43922</v>
      </c>
      <c r="O42" s="16">
        <v>45748</v>
      </c>
      <c r="P42" s="13">
        <v>1409542.09</v>
      </c>
      <c r="Q42" s="242" t="e">
        <v>#VALUE!</v>
      </c>
    </row>
    <row r="43" spans="1:17" x14ac:dyDescent="0.2">
      <c r="A43" s="4" t="s">
        <v>41</v>
      </c>
      <c r="B43" s="13">
        <v>98701064</v>
      </c>
      <c r="C43" s="13">
        <v>93146745.209999993</v>
      </c>
      <c r="D43" s="13">
        <v>5554318.7900000066</v>
      </c>
      <c r="E43" s="13">
        <v>3452822.96</v>
      </c>
      <c r="F43" s="13">
        <v>2898567</v>
      </c>
      <c r="G43" s="14">
        <v>1.92</v>
      </c>
      <c r="H43" s="14">
        <v>1.19</v>
      </c>
      <c r="I43" s="13">
        <v>287735.24666666664</v>
      </c>
      <c r="J43" s="15">
        <v>9</v>
      </c>
      <c r="K43" s="13">
        <v>2964701.5700000068</v>
      </c>
      <c r="L43" s="13" t="s">
        <v>192</v>
      </c>
      <c r="M43" s="13" t="s">
        <v>192</v>
      </c>
      <c r="N43" s="197">
        <v>43647</v>
      </c>
      <c r="O43" s="16">
        <v>45839</v>
      </c>
      <c r="P43" s="13">
        <v>269953.31</v>
      </c>
      <c r="Q43" s="242" t="e">
        <v>#VALUE!</v>
      </c>
    </row>
    <row r="44" spans="1:17" x14ac:dyDescent="0.2">
      <c r="A44" s="4" t="s">
        <v>34</v>
      </c>
      <c r="B44" s="13">
        <v>1394382977.99</v>
      </c>
      <c r="C44" s="13">
        <v>1330022017.3499999</v>
      </c>
      <c r="D44" s="13">
        <v>64360960.640000105</v>
      </c>
      <c r="E44" s="13">
        <v>47580046.520000003</v>
      </c>
      <c r="F44" s="13">
        <v>34869850</v>
      </c>
      <c r="G44" s="14">
        <v>1.85</v>
      </c>
      <c r="H44" s="14">
        <v>1.36</v>
      </c>
      <c r="I44" s="13">
        <v>3965003.8766666669</v>
      </c>
      <c r="J44" s="15">
        <v>6</v>
      </c>
      <c r="K44" s="13">
        <v>40570937.3800001</v>
      </c>
      <c r="L44" s="13" t="s">
        <v>192</v>
      </c>
      <c r="M44" s="13" t="s">
        <v>192</v>
      </c>
      <c r="N44" s="197">
        <v>43922</v>
      </c>
      <c r="O44" s="16">
        <v>45748</v>
      </c>
      <c r="P44" s="13">
        <v>10075297.77</v>
      </c>
      <c r="Q44" s="242" t="e">
        <v>#VALUE!</v>
      </c>
    </row>
    <row r="45" spans="1:17" x14ac:dyDescent="0.2">
      <c r="A45" s="4" t="s">
        <v>63</v>
      </c>
      <c r="B45" s="13">
        <v>1082941284</v>
      </c>
      <c r="C45" s="13">
        <v>1034115931.91</v>
      </c>
      <c r="D45" s="13">
        <v>48825352.090000033</v>
      </c>
      <c r="E45" s="13">
        <v>22503027.420000002</v>
      </c>
      <c r="F45" s="13">
        <v>27168342</v>
      </c>
      <c r="G45" s="14">
        <v>1.8</v>
      </c>
      <c r="H45" s="14">
        <v>0.83</v>
      </c>
      <c r="I45" s="13">
        <v>1875252.2850000001</v>
      </c>
      <c r="J45" s="15">
        <v>6</v>
      </c>
      <c r="K45" s="13">
        <v>37573838.380000032</v>
      </c>
      <c r="L45" s="13" t="s">
        <v>192</v>
      </c>
      <c r="M45" s="13" t="s">
        <v>192</v>
      </c>
      <c r="N45" s="197">
        <v>43922</v>
      </c>
      <c r="O45" s="16">
        <v>45748</v>
      </c>
      <c r="P45" s="13">
        <v>593964.68999999994</v>
      </c>
      <c r="Q45" s="242" t="e">
        <v>#VALUE!</v>
      </c>
    </row>
    <row r="46" spans="1:17" x14ac:dyDescent="0.2">
      <c r="A46" s="4" t="s">
        <v>48</v>
      </c>
      <c r="B46" s="13">
        <v>1940110596.77</v>
      </c>
      <c r="C46" s="13">
        <v>1860669615.1900001</v>
      </c>
      <c r="D46" s="13">
        <v>79440981.579999924</v>
      </c>
      <c r="E46" s="13">
        <v>43010545.969999999</v>
      </c>
      <c r="F46" s="13">
        <v>45492764</v>
      </c>
      <c r="G46" s="14">
        <v>1.75</v>
      </c>
      <c r="H46" s="14">
        <v>0.95</v>
      </c>
      <c r="I46" s="13">
        <v>3584212.1641666666</v>
      </c>
      <c r="J46" s="15">
        <v>9</v>
      </c>
      <c r="K46" s="13">
        <v>47183072.102499925</v>
      </c>
      <c r="L46" s="13" t="s">
        <v>192</v>
      </c>
      <c r="M46" s="13" t="s">
        <v>192</v>
      </c>
      <c r="N46" s="197">
        <v>43647</v>
      </c>
      <c r="O46" s="16">
        <v>45839</v>
      </c>
      <c r="P46" s="13">
        <v>4968934.76</v>
      </c>
      <c r="Q46" s="242" t="e">
        <v>#VALUE!</v>
      </c>
    </row>
    <row r="47" spans="1:17" x14ac:dyDescent="0.2">
      <c r="A47" s="4" t="s">
        <v>49</v>
      </c>
      <c r="B47" s="13">
        <v>685388676.61000001</v>
      </c>
      <c r="C47" s="13">
        <v>661269564.88</v>
      </c>
      <c r="D47" s="13">
        <v>24119111.730000019</v>
      </c>
      <c r="E47" s="13">
        <v>18218720.98</v>
      </c>
      <c r="F47" s="13">
        <v>13963452</v>
      </c>
      <c r="G47" s="14">
        <v>1.73</v>
      </c>
      <c r="H47" s="14">
        <v>1.3</v>
      </c>
      <c r="I47" s="13">
        <v>1518226.7483333333</v>
      </c>
      <c r="J47" s="15">
        <v>6</v>
      </c>
      <c r="K47" s="13">
        <v>15009751.240000019</v>
      </c>
      <c r="L47" s="13" t="s">
        <v>192</v>
      </c>
      <c r="M47" s="13" t="s">
        <v>192</v>
      </c>
      <c r="N47" s="197">
        <v>43922</v>
      </c>
      <c r="O47" s="16">
        <v>45748</v>
      </c>
      <c r="P47" s="13">
        <v>1622477.19</v>
      </c>
      <c r="Q47" s="242" t="e">
        <v>#VALUE!</v>
      </c>
    </row>
    <row r="48" spans="1:17" x14ac:dyDescent="0.2">
      <c r="A48" s="4" t="s">
        <v>59</v>
      </c>
      <c r="B48" s="13">
        <v>277600986</v>
      </c>
      <c r="C48" s="13">
        <v>264698141.03</v>
      </c>
      <c r="D48" s="13">
        <v>12902844.969999999</v>
      </c>
      <c r="E48" s="13">
        <v>10217911.550000001</v>
      </c>
      <c r="F48" s="13">
        <v>7461397</v>
      </c>
      <c r="G48" s="14">
        <v>1.73</v>
      </c>
      <c r="H48" s="14">
        <v>1.37</v>
      </c>
      <c r="I48" s="13">
        <v>851492.62916666677</v>
      </c>
      <c r="J48" s="15">
        <v>9</v>
      </c>
      <c r="K48" s="13">
        <v>5239411.3074999982</v>
      </c>
      <c r="L48" s="13" t="s">
        <v>192</v>
      </c>
      <c r="M48" s="13" t="s">
        <v>192</v>
      </c>
      <c r="N48" s="197">
        <v>43647</v>
      </c>
      <c r="O48" s="16">
        <v>45839</v>
      </c>
      <c r="P48" s="13">
        <v>0</v>
      </c>
      <c r="Q48" s="242" t="e">
        <v>#VALUE!</v>
      </c>
    </row>
    <row r="49" spans="1:17" x14ac:dyDescent="0.2">
      <c r="A49" s="4" t="s">
        <v>32</v>
      </c>
      <c r="B49" s="13">
        <v>497245980</v>
      </c>
      <c r="C49" s="13">
        <v>478439351.82999998</v>
      </c>
      <c r="D49" s="13">
        <v>18806628.170000017</v>
      </c>
      <c r="E49" s="13">
        <v>10438241.199999999</v>
      </c>
      <c r="F49" s="13">
        <v>11808636</v>
      </c>
      <c r="G49" s="14">
        <v>1.59</v>
      </c>
      <c r="H49" s="14">
        <v>0.88</v>
      </c>
      <c r="I49" s="13">
        <v>869853.43333333323</v>
      </c>
      <c r="J49" s="15">
        <v>3</v>
      </c>
      <c r="K49" s="13">
        <v>16197067.870000016</v>
      </c>
      <c r="L49" s="13" t="s">
        <v>192</v>
      </c>
      <c r="M49" s="13" t="s">
        <v>192</v>
      </c>
      <c r="N49" s="197">
        <v>43831</v>
      </c>
      <c r="O49" s="16">
        <v>45658</v>
      </c>
      <c r="P49" s="13">
        <v>396839.87</v>
      </c>
      <c r="Q49" s="242" t="e">
        <v>#VALUE!</v>
      </c>
    </row>
    <row r="50" spans="1:17" x14ac:dyDescent="0.2">
      <c r="A50" s="4" t="s">
        <v>17</v>
      </c>
      <c r="B50" s="13">
        <v>389160034</v>
      </c>
      <c r="C50" s="13">
        <v>374323137.94999999</v>
      </c>
      <c r="D50" s="13">
        <v>14836896.050000012</v>
      </c>
      <c r="E50" s="13">
        <v>11624822.779999999</v>
      </c>
      <c r="F50" s="13">
        <v>10126728</v>
      </c>
      <c r="G50" s="14">
        <v>1.47</v>
      </c>
      <c r="H50" s="14">
        <v>1.1499999999999999</v>
      </c>
      <c r="I50" s="13">
        <v>968735.23166666657</v>
      </c>
      <c r="J50" s="15">
        <v>9</v>
      </c>
      <c r="K50" s="13">
        <v>6118278.9650000129</v>
      </c>
      <c r="L50" s="13" t="s">
        <v>192</v>
      </c>
      <c r="M50" s="13" t="s">
        <v>192</v>
      </c>
      <c r="N50" s="197">
        <v>43647</v>
      </c>
      <c r="O50" s="16">
        <v>45839</v>
      </c>
      <c r="P50" s="13">
        <v>1630056.13</v>
      </c>
      <c r="Q50" s="242" t="e">
        <v>#VALUE!</v>
      </c>
    </row>
    <row r="51" spans="1:17" x14ac:dyDescent="0.2">
      <c r="A51" s="4" t="s">
        <v>58</v>
      </c>
      <c r="B51" s="13">
        <v>238203233</v>
      </c>
      <c r="C51" s="13">
        <v>233403754.16999999</v>
      </c>
      <c r="D51" s="13">
        <v>4799478.8300000131</v>
      </c>
      <c r="E51" s="13">
        <v>6955956.2800000003</v>
      </c>
      <c r="F51" s="13">
        <v>5501208</v>
      </c>
      <c r="G51" s="14">
        <v>0.87</v>
      </c>
      <c r="H51" s="14">
        <v>1.26</v>
      </c>
      <c r="I51" s="13">
        <v>579663.02333333332</v>
      </c>
      <c r="J51" s="15">
        <v>9</v>
      </c>
      <c r="K51" s="13">
        <v>-417488.37999998685</v>
      </c>
      <c r="L51" s="13" t="s">
        <v>192</v>
      </c>
      <c r="M51" s="13" t="s">
        <v>192</v>
      </c>
      <c r="N51" s="197">
        <v>43647</v>
      </c>
      <c r="O51" s="16">
        <v>45839</v>
      </c>
      <c r="P51" s="13">
        <v>2204717.33</v>
      </c>
      <c r="Q51" s="242" t="e">
        <v>#VALUE!</v>
      </c>
    </row>
    <row r="52" spans="1:17" x14ac:dyDescent="0.2">
      <c r="A52" s="4" t="s">
        <v>22</v>
      </c>
      <c r="B52" s="13">
        <v>75470621</v>
      </c>
      <c r="C52" s="13">
        <v>73178619.109999999</v>
      </c>
      <c r="D52" s="18">
        <v>2292001.8900000006</v>
      </c>
      <c r="E52" s="13">
        <v>2570721.5499999998</v>
      </c>
      <c r="F52" s="13">
        <v>2752623</v>
      </c>
      <c r="G52" s="14">
        <v>0.83</v>
      </c>
      <c r="H52" s="14">
        <v>0.93</v>
      </c>
      <c r="I52" s="18">
        <v>214226.79583333331</v>
      </c>
      <c r="J52" s="15">
        <v>9</v>
      </c>
      <c r="K52" s="18">
        <v>363960.72750000074</v>
      </c>
      <c r="L52" s="18" t="s">
        <v>192</v>
      </c>
      <c r="M52" s="18" t="s">
        <v>192</v>
      </c>
      <c r="N52" s="198">
        <v>43647</v>
      </c>
      <c r="O52" s="16">
        <v>45839</v>
      </c>
      <c r="P52" s="13">
        <v>222460.87</v>
      </c>
      <c r="Q52" s="242" t="e">
        <v>#VALUE!</v>
      </c>
    </row>
    <row r="53" spans="1:17" x14ac:dyDescent="0.25">
      <c r="A53" s="36" t="s">
        <v>65</v>
      </c>
      <c r="B53" s="33">
        <v>43056918036.709999</v>
      </c>
      <c r="C53" s="13">
        <v>40115148085.650002</v>
      </c>
      <c r="D53" s="33">
        <v>2941769951.0599976</v>
      </c>
      <c r="E53" s="13">
        <v>925148652.65999997</v>
      </c>
      <c r="F53" s="13">
        <v>981907757</v>
      </c>
      <c r="G53" s="14">
        <v>3</v>
      </c>
      <c r="H53" s="14">
        <v>0.94</v>
      </c>
      <c r="I53" s="33">
        <v>77095721.054999992</v>
      </c>
      <c r="J53" s="34"/>
      <c r="K53" s="35"/>
      <c r="L53" s="35"/>
      <c r="M53" s="35"/>
      <c r="N53" s="35"/>
      <c r="O53" s="35"/>
      <c r="P53" s="33">
        <v>81834720.400000006</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31</v>
      </c>
      <c r="H56" s="25"/>
    </row>
    <row r="57" spans="1:17" ht="27" customHeight="1" thickBot="1" x14ac:dyDescent="0.3">
      <c r="D57" s="248" t="s">
        <v>67</v>
      </c>
      <c r="E57" s="249"/>
      <c r="F57" s="249"/>
      <c r="G57" s="27"/>
      <c r="H57" s="28">
        <v>31</v>
      </c>
    </row>
  </sheetData>
  <mergeCells count="2">
    <mergeCell ref="D56:F56"/>
    <mergeCell ref="D57:F57"/>
  </mergeCells>
  <conditionalFormatting sqref="G54">
    <cfRule type="cellIs" dxfId="293" priority="13" stopIfTrue="1" operator="greaterThan">
      <formula>2.5</formula>
    </cfRule>
    <cfRule type="cellIs" dxfId="292" priority="14" stopIfTrue="1" operator="between">
      <formula>2.01</formula>
      <formula>2.5</formula>
    </cfRule>
  </conditionalFormatting>
  <conditionalFormatting sqref="H3:H53">
    <cfRule type="cellIs" dxfId="291" priority="12" stopIfTrue="1" operator="lessThan">
      <formula>1</formula>
    </cfRule>
  </conditionalFormatting>
  <conditionalFormatting sqref="G3:G53">
    <cfRule type="cellIs" dxfId="290" priority="10" stopIfTrue="1" operator="greaterThan">
      <formula>2.5</formula>
    </cfRule>
    <cfRule type="cellIs" dxfId="289" priority="11" stopIfTrue="1" operator="between">
      <formula>2.01</formula>
      <formula>2.5</formula>
    </cfRule>
  </conditionalFormatting>
  <conditionalFormatting sqref="K3:K52">
    <cfRule type="cellIs" dxfId="288" priority="8" stopIfTrue="1" operator="greaterThan">
      <formula>$F3*2.5</formula>
    </cfRule>
    <cfRule type="cellIs" dxfId="287" priority="9" stopIfTrue="1" operator="between">
      <formula>$F3*2</formula>
      <formula>$F3*2.5</formula>
    </cfRule>
  </conditionalFormatting>
  <conditionalFormatting sqref="G54">
    <cfRule type="cellIs" dxfId="286" priority="6" stopIfTrue="1" operator="greaterThan">
      <formula>2.5</formula>
    </cfRule>
    <cfRule type="cellIs" dxfId="285" priority="7" stopIfTrue="1" operator="between">
      <formula>2.01</formula>
      <formula>2.5</formula>
    </cfRule>
  </conditionalFormatting>
  <conditionalFormatting sqref="H3:H53">
    <cfRule type="cellIs" dxfId="284" priority="5" stopIfTrue="1" operator="lessThan">
      <formula>1</formula>
    </cfRule>
  </conditionalFormatting>
  <conditionalFormatting sqref="G3:G53">
    <cfRule type="cellIs" dxfId="283" priority="3" stopIfTrue="1" operator="greaterThan">
      <formula>2.5</formula>
    </cfRule>
    <cfRule type="cellIs" dxfId="282" priority="4" stopIfTrue="1" operator="between">
      <formula>2.01</formula>
      <formula>2.5</formula>
    </cfRule>
  </conditionalFormatting>
  <conditionalFormatting sqref="K3:K52">
    <cfRule type="cellIs" dxfId="281" priority="1" stopIfTrue="1" operator="greaterThan">
      <formula>$F3*2.5</formula>
    </cfRule>
    <cfRule type="cellIs" dxfId="280"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EEEF2-9A59-409C-8D57-F3508DE2D3ED}">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7.7265625" style="23" hidden="1" customWidth="1"/>
    <col min="17" max="17" width="12.81640625" style="17" hidden="1" customWidth="1"/>
    <col min="18" max="16384" width="9.1796875" style="17"/>
  </cols>
  <sheetData>
    <row r="1" spans="1:17" s="8" customFormat="1" ht="18" x14ac:dyDescent="0.25">
      <c r="A1" s="4" t="s">
        <v>281</v>
      </c>
      <c r="B1" s="196" t="s">
        <v>282</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1139975937.45</v>
      </c>
      <c r="C3" s="13">
        <v>991953190.50999999</v>
      </c>
      <c r="D3" s="13">
        <v>148022746.94000006</v>
      </c>
      <c r="E3" s="13">
        <v>14628857.43</v>
      </c>
      <c r="F3" s="13">
        <v>24778539</v>
      </c>
      <c r="G3" s="14">
        <v>5.97</v>
      </c>
      <c r="H3" s="14">
        <v>0.59</v>
      </c>
      <c r="I3" s="13">
        <v>1219071.4524999999</v>
      </c>
      <c r="J3" s="15">
        <v>8</v>
      </c>
      <c r="K3" s="13">
        <v>138270175.32000005</v>
      </c>
      <c r="L3" s="13">
        <v>12308208.617500007</v>
      </c>
      <c r="M3" s="13">
        <v>10759549.930000007</v>
      </c>
      <c r="N3" s="197">
        <v>43647</v>
      </c>
      <c r="O3" s="16">
        <v>45839</v>
      </c>
      <c r="P3" s="13">
        <v>2400797.4</v>
      </c>
      <c r="Q3" s="243" t="e">
        <v>#VALUE!</v>
      </c>
    </row>
    <row r="4" spans="1:17" x14ac:dyDescent="0.2">
      <c r="A4" s="4" t="s">
        <v>35</v>
      </c>
      <c r="B4" s="13">
        <v>1469242870.97</v>
      </c>
      <c r="C4" s="13">
        <v>1306570639.98</v>
      </c>
      <c r="D4" s="13">
        <v>162672230.99000001</v>
      </c>
      <c r="E4" s="13">
        <v>14085309.85</v>
      </c>
      <c r="F4" s="13">
        <v>33073641</v>
      </c>
      <c r="G4" s="14">
        <v>4.92</v>
      </c>
      <c r="H4" s="14">
        <v>0.43</v>
      </c>
      <c r="I4" s="13">
        <v>1173775.8208333333</v>
      </c>
      <c r="J4" s="15">
        <v>8</v>
      </c>
      <c r="K4" s="13">
        <v>153282024.42333335</v>
      </c>
      <c r="L4" s="13">
        <v>12065618.623750001</v>
      </c>
      <c r="M4" s="13">
        <v>9998516.0612500012</v>
      </c>
      <c r="N4" s="197">
        <v>43647</v>
      </c>
      <c r="O4" s="16">
        <v>45839</v>
      </c>
      <c r="P4" s="13">
        <v>2862991.85</v>
      </c>
      <c r="Q4" s="242" t="e">
        <v>#VALUE!</v>
      </c>
    </row>
    <row r="5" spans="1:17" x14ac:dyDescent="0.2">
      <c r="A5" s="4" t="s">
        <v>62</v>
      </c>
      <c r="B5" s="13">
        <v>708696383.32000005</v>
      </c>
      <c r="C5" s="13">
        <v>640888123.37</v>
      </c>
      <c r="D5" s="13">
        <v>67808259.950000048</v>
      </c>
      <c r="E5" s="13">
        <v>13365925.529999999</v>
      </c>
      <c r="F5" s="13">
        <v>13833071</v>
      </c>
      <c r="G5" s="14">
        <v>4.9000000000000004</v>
      </c>
      <c r="H5" s="14">
        <v>0.97</v>
      </c>
      <c r="I5" s="13">
        <v>1113827.1274999999</v>
      </c>
      <c r="J5" s="15">
        <v>8</v>
      </c>
      <c r="K5" s="13">
        <v>58897642.930000052</v>
      </c>
      <c r="L5" s="13">
        <v>5017764.743750006</v>
      </c>
      <c r="M5" s="13">
        <v>4153197.806250006</v>
      </c>
      <c r="N5" s="197">
        <v>43647</v>
      </c>
      <c r="O5" s="16">
        <v>45839</v>
      </c>
      <c r="P5" s="13">
        <v>1910132.33</v>
      </c>
      <c r="Q5" s="242" t="e">
        <v>#VALUE!</v>
      </c>
    </row>
    <row r="6" spans="1:17" x14ac:dyDescent="0.2">
      <c r="A6" s="4" t="s">
        <v>46</v>
      </c>
      <c r="B6" s="13">
        <v>1788595890.3599999</v>
      </c>
      <c r="C6" s="13">
        <v>1562717231.0799999</v>
      </c>
      <c r="D6" s="13">
        <v>225878659.27999997</v>
      </c>
      <c r="E6" s="13">
        <v>43904499.909999996</v>
      </c>
      <c r="F6" s="13">
        <v>46272979</v>
      </c>
      <c r="G6" s="14">
        <v>4.88</v>
      </c>
      <c r="H6" s="14">
        <v>0.95</v>
      </c>
      <c r="I6" s="13">
        <v>3658708.3258333332</v>
      </c>
      <c r="J6" s="15">
        <v>2</v>
      </c>
      <c r="K6" s="13">
        <v>218561242.6283333</v>
      </c>
      <c r="L6" s="13">
        <v>66666350.639999986</v>
      </c>
      <c r="M6" s="13">
        <v>55098105.889999986</v>
      </c>
      <c r="N6" s="197">
        <v>43831</v>
      </c>
      <c r="O6" s="16">
        <v>45658</v>
      </c>
      <c r="P6" s="13">
        <v>5933442.8799999999</v>
      </c>
      <c r="Q6" s="242" t="e">
        <v>#VALUE!</v>
      </c>
    </row>
    <row r="7" spans="1:17" x14ac:dyDescent="0.2">
      <c r="A7" s="4" t="s">
        <v>64</v>
      </c>
      <c r="B7" s="13">
        <v>120899760.39</v>
      </c>
      <c r="C7" s="13">
        <v>105192088.95999999</v>
      </c>
      <c r="D7" s="13">
        <v>15707671.430000007</v>
      </c>
      <c r="E7" s="13">
        <v>1162955.8500000001</v>
      </c>
      <c r="F7" s="13">
        <v>3521015</v>
      </c>
      <c r="G7" s="14">
        <v>4.46</v>
      </c>
      <c r="H7" s="14">
        <v>0.33</v>
      </c>
      <c r="I7" s="13">
        <v>96912.987500000003</v>
      </c>
      <c r="J7" s="15">
        <v>2</v>
      </c>
      <c r="K7" s="13">
        <v>15513845.455000008</v>
      </c>
      <c r="L7" s="13">
        <v>4332820.7150000036</v>
      </c>
      <c r="M7" s="13">
        <v>3452566.9650000036</v>
      </c>
      <c r="N7" s="197">
        <v>43831</v>
      </c>
      <c r="O7" s="16">
        <v>45658</v>
      </c>
      <c r="P7" s="13">
        <v>16576.34</v>
      </c>
      <c r="Q7" s="242" t="e">
        <v>#VALUE!</v>
      </c>
    </row>
    <row r="8" spans="1:17" x14ac:dyDescent="0.2">
      <c r="A8" s="4" t="s">
        <v>26</v>
      </c>
      <c r="B8" s="13">
        <v>1336273473.74</v>
      </c>
      <c r="C8" s="13">
        <v>1214740140.27</v>
      </c>
      <c r="D8" s="13">
        <v>121533333.47000003</v>
      </c>
      <c r="E8" s="13">
        <v>35871062.57</v>
      </c>
      <c r="F8" s="13">
        <v>29074134</v>
      </c>
      <c r="G8" s="14">
        <v>4.18</v>
      </c>
      <c r="H8" s="14">
        <v>1.23</v>
      </c>
      <c r="I8" s="13">
        <v>2989255.2141666668</v>
      </c>
      <c r="J8" s="15">
        <v>2</v>
      </c>
      <c r="K8" s="13">
        <v>115554823.0416667</v>
      </c>
      <c r="L8" s="13">
        <v>31692532.735000014</v>
      </c>
      <c r="M8" s="13">
        <v>24423999.235000014</v>
      </c>
      <c r="N8" s="197">
        <v>43831</v>
      </c>
      <c r="O8" s="16">
        <v>45658</v>
      </c>
      <c r="P8" s="13">
        <v>11449857.560000001</v>
      </c>
      <c r="Q8" s="242" t="e">
        <v>#VALUE!</v>
      </c>
    </row>
    <row r="9" spans="1:17" x14ac:dyDescent="0.2">
      <c r="A9" s="4" t="s">
        <v>44</v>
      </c>
      <c r="B9" s="13">
        <v>493558716</v>
      </c>
      <c r="C9" s="13">
        <v>450592208.32999998</v>
      </c>
      <c r="D9" s="13">
        <v>42966507.670000017</v>
      </c>
      <c r="E9" s="13">
        <v>8002572.3399999999</v>
      </c>
      <c r="F9" s="13">
        <v>11038481</v>
      </c>
      <c r="G9" s="14">
        <v>3.89</v>
      </c>
      <c r="H9" s="14">
        <v>0.72</v>
      </c>
      <c r="I9" s="13">
        <v>666881.02833333332</v>
      </c>
      <c r="J9" s="15">
        <v>2</v>
      </c>
      <c r="K9" s="13">
        <v>41632745.613333352</v>
      </c>
      <c r="L9" s="13">
        <v>10444772.835000008</v>
      </c>
      <c r="M9" s="13">
        <v>7685152.5850000083</v>
      </c>
      <c r="N9" s="197">
        <v>43831</v>
      </c>
      <c r="O9" s="16">
        <v>45658</v>
      </c>
      <c r="P9" s="13">
        <v>0</v>
      </c>
      <c r="Q9" s="242" t="e">
        <v>#VALUE!</v>
      </c>
    </row>
    <row r="10" spans="1:17" x14ac:dyDescent="0.2">
      <c r="A10" s="4" t="s">
        <v>47</v>
      </c>
      <c r="B10" s="13">
        <v>187480557</v>
      </c>
      <c r="C10" s="13">
        <v>173850972.44999999</v>
      </c>
      <c r="D10" s="13">
        <v>13629584.550000012</v>
      </c>
      <c r="E10" s="13">
        <v>2370697.91</v>
      </c>
      <c r="F10" s="13">
        <v>3515583</v>
      </c>
      <c r="G10" s="14">
        <v>3.88</v>
      </c>
      <c r="H10" s="14">
        <v>0.67</v>
      </c>
      <c r="I10" s="13">
        <v>197558.15916666668</v>
      </c>
      <c r="J10" s="15">
        <v>8</v>
      </c>
      <c r="K10" s="13">
        <v>12049119.276666678</v>
      </c>
      <c r="L10" s="13">
        <v>824802.31875000149</v>
      </c>
      <c r="M10" s="13">
        <v>605078.38125000149</v>
      </c>
      <c r="N10" s="197">
        <v>43647</v>
      </c>
      <c r="O10" s="16">
        <v>45839</v>
      </c>
      <c r="P10" s="13">
        <v>0</v>
      </c>
      <c r="Q10" s="242" t="e">
        <v>#VALUE!</v>
      </c>
    </row>
    <row r="11" spans="1:17" x14ac:dyDescent="0.2">
      <c r="A11" s="4" t="s">
        <v>36</v>
      </c>
      <c r="B11" s="13">
        <v>853256279</v>
      </c>
      <c r="C11" s="13">
        <v>783186576.38</v>
      </c>
      <c r="D11" s="13">
        <v>70069702.620000005</v>
      </c>
      <c r="E11" s="13">
        <v>17723736.399999999</v>
      </c>
      <c r="F11" s="13">
        <v>18836467</v>
      </c>
      <c r="G11" s="14">
        <v>3.72</v>
      </c>
      <c r="H11" s="14">
        <v>0.94</v>
      </c>
      <c r="I11" s="13">
        <v>1476978.0333333332</v>
      </c>
      <c r="J11" s="15">
        <v>0</v>
      </c>
      <c r="K11" s="13">
        <v>70069702.620000005</v>
      </c>
      <c r="L11" s="13" t="s">
        <v>193</v>
      </c>
      <c r="M11" s="13" t="s">
        <v>193</v>
      </c>
      <c r="N11" s="197">
        <v>43739</v>
      </c>
      <c r="O11" s="16">
        <v>45566</v>
      </c>
      <c r="P11" s="13">
        <v>3956343.16</v>
      </c>
      <c r="Q11" s="242" t="e">
        <v>#VALUE!</v>
      </c>
    </row>
    <row r="12" spans="1:17" x14ac:dyDescent="0.2">
      <c r="A12" s="4" t="s">
        <v>30</v>
      </c>
      <c r="B12" s="13">
        <v>1168142277.4400001</v>
      </c>
      <c r="C12" s="13">
        <v>1072112482.88</v>
      </c>
      <c r="D12" s="13">
        <v>96029794.560000062</v>
      </c>
      <c r="E12" s="13">
        <v>19263324.620000001</v>
      </c>
      <c r="F12" s="13">
        <v>26355588</v>
      </c>
      <c r="G12" s="14">
        <v>3.64</v>
      </c>
      <c r="H12" s="14">
        <v>0.73</v>
      </c>
      <c r="I12" s="13">
        <v>1605277.0516666668</v>
      </c>
      <c r="J12" s="15">
        <v>8</v>
      </c>
      <c r="K12" s="13">
        <v>83187578.146666735</v>
      </c>
      <c r="L12" s="13">
        <v>5414827.3200000077</v>
      </c>
      <c r="M12" s="13">
        <v>3767603.0700000077</v>
      </c>
      <c r="N12" s="197">
        <v>43647</v>
      </c>
      <c r="O12" s="16">
        <v>45839</v>
      </c>
      <c r="P12" s="13">
        <v>1625777</v>
      </c>
      <c r="Q12" s="242" t="e">
        <v>#VALUE!</v>
      </c>
    </row>
    <row r="13" spans="1:17" x14ac:dyDescent="0.2">
      <c r="A13" s="4" t="s">
        <v>52</v>
      </c>
      <c r="B13" s="13">
        <v>1945106991</v>
      </c>
      <c r="C13" s="13">
        <v>1865307660.0899999</v>
      </c>
      <c r="D13" s="13">
        <v>79799330.910000086</v>
      </c>
      <c r="E13" s="13">
        <v>20124909.760000002</v>
      </c>
      <c r="F13" s="13">
        <v>22131554</v>
      </c>
      <c r="G13" s="14">
        <v>3.61</v>
      </c>
      <c r="H13" s="14">
        <v>0.91</v>
      </c>
      <c r="I13" s="13">
        <v>1677075.8133333335</v>
      </c>
      <c r="J13" s="15">
        <v>8</v>
      </c>
      <c r="K13" s="13">
        <v>66382724.403333418</v>
      </c>
      <c r="L13" s="13">
        <v>4442027.8637500107</v>
      </c>
      <c r="M13" s="13">
        <v>3058805.7387500107</v>
      </c>
      <c r="N13" s="197">
        <v>43647</v>
      </c>
      <c r="O13" s="16">
        <v>45839</v>
      </c>
      <c r="P13" s="13">
        <v>2259442.2599999998</v>
      </c>
      <c r="Q13" s="242" t="e">
        <v>#VALUE!</v>
      </c>
    </row>
    <row r="14" spans="1:17" x14ac:dyDescent="0.2">
      <c r="A14" s="4" t="s">
        <v>60</v>
      </c>
      <c r="B14" s="13">
        <v>794219275</v>
      </c>
      <c r="C14" s="13">
        <v>726597794.80999994</v>
      </c>
      <c r="D14" s="13">
        <v>67621480.190000057</v>
      </c>
      <c r="E14" s="13">
        <v>13089193.710000001</v>
      </c>
      <c r="F14" s="13">
        <v>19107637</v>
      </c>
      <c r="G14" s="14">
        <v>3.54</v>
      </c>
      <c r="H14" s="14">
        <v>0.69</v>
      </c>
      <c r="I14" s="13">
        <v>1090766.1425000001</v>
      </c>
      <c r="J14" s="15">
        <v>8</v>
      </c>
      <c r="K14" s="13">
        <v>58895351.050000057</v>
      </c>
      <c r="L14" s="13">
        <v>3675775.7737500072</v>
      </c>
      <c r="M14" s="13">
        <v>2481548.4612500072</v>
      </c>
      <c r="N14" s="197">
        <v>43647</v>
      </c>
      <c r="O14" s="16">
        <v>45839</v>
      </c>
      <c r="P14" s="13">
        <v>859930.17</v>
      </c>
      <c r="Q14" s="242" t="e">
        <v>#VALUE!</v>
      </c>
    </row>
    <row r="15" spans="1:17" x14ac:dyDescent="0.2">
      <c r="A15" s="4" t="s">
        <v>39</v>
      </c>
      <c r="B15" s="13">
        <v>265120500</v>
      </c>
      <c r="C15" s="13">
        <v>243313245.97999999</v>
      </c>
      <c r="D15" s="13">
        <v>21807254.020000011</v>
      </c>
      <c r="E15" s="13">
        <v>9431535.2599999998</v>
      </c>
      <c r="F15" s="13">
        <v>6172506</v>
      </c>
      <c r="G15" s="14">
        <v>3.53</v>
      </c>
      <c r="H15" s="14">
        <v>1.53</v>
      </c>
      <c r="I15" s="13">
        <v>785961.27166666661</v>
      </c>
      <c r="J15" s="15">
        <v>5</v>
      </c>
      <c r="K15" s="13">
        <v>17877447.661666676</v>
      </c>
      <c r="L15" s="13">
        <v>1892448.4040000022</v>
      </c>
      <c r="M15" s="13">
        <v>1275197.8040000021</v>
      </c>
      <c r="N15" s="197">
        <v>43922</v>
      </c>
      <c r="O15" s="16">
        <v>45748</v>
      </c>
      <c r="P15" s="13">
        <v>556669.29</v>
      </c>
      <c r="Q15" s="242" t="e">
        <v>#VALUE!</v>
      </c>
    </row>
    <row r="16" spans="1:17" x14ac:dyDescent="0.2">
      <c r="A16" s="4" t="s">
        <v>40</v>
      </c>
      <c r="B16" s="13">
        <v>500565228.91000003</v>
      </c>
      <c r="C16" s="13">
        <v>463567009.80000001</v>
      </c>
      <c r="D16" s="13">
        <v>36998219.110000014</v>
      </c>
      <c r="E16" s="13">
        <v>5367707.12</v>
      </c>
      <c r="F16" s="13">
        <v>10539100</v>
      </c>
      <c r="G16" s="14">
        <v>3.51</v>
      </c>
      <c r="H16" s="14">
        <v>0.51</v>
      </c>
      <c r="I16" s="13">
        <v>447308.9266666667</v>
      </c>
      <c r="J16" s="15">
        <v>8</v>
      </c>
      <c r="K16" s="13">
        <v>33419747.69666668</v>
      </c>
      <c r="L16" s="13">
        <v>1990002.3887500018</v>
      </c>
      <c r="M16" s="13">
        <v>1331308.6387500018</v>
      </c>
      <c r="N16" s="197">
        <v>43647</v>
      </c>
      <c r="O16" s="16">
        <v>45839</v>
      </c>
      <c r="P16" s="13">
        <v>638166.47</v>
      </c>
      <c r="Q16" s="242" t="e">
        <v>#VALUE!</v>
      </c>
    </row>
    <row r="17" spans="1:17" x14ac:dyDescent="0.2">
      <c r="A17" s="4" t="s">
        <v>53</v>
      </c>
      <c r="B17" s="13">
        <v>203184695.25999999</v>
      </c>
      <c r="C17" s="13">
        <v>183381620.25999999</v>
      </c>
      <c r="D17" s="13">
        <v>19803075</v>
      </c>
      <c r="E17" s="13">
        <v>7558040.54</v>
      </c>
      <c r="F17" s="13">
        <v>5655134</v>
      </c>
      <c r="G17" s="14">
        <v>3.5</v>
      </c>
      <c r="H17" s="14">
        <v>1.34</v>
      </c>
      <c r="I17" s="13">
        <v>629836.71166666667</v>
      </c>
      <c r="J17" s="15">
        <v>8</v>
      </c>
      <c r="K17" s="13">
        <v>14764381.306666667</v>
      </c>
      <c r="L17" s="13">
        <v>1061600.875</v>
      </c>
      <c r="M17" s="13">
        <v>708155</v>
      </c>
      <c r="N17" s="197">
        <v>43647</v>
      </c>
      <c r="O17" s="16">
        <v>45839</v>
      </c>
      <c r="P17" s="13">
        <v>0</v>
      </c>
      <c r="Q17" s="242" t="e">
        <v>#VALUE!</v>
      </c>
    </row>
    <row r="18" spans="1:17" x14ac:dyDescent="0.2">
      <c r="A18" s="4" t="s">
        <v>19</v>
      </c>
      <c r="B18" s="13">
        <v>1438428739.9100001</v>
      </c>
      <c r="C18" s="13">
        <v>1335014631.53</v>
      </c>
      <c r="D18" s="13">
        <v>103414108.38000011</v>
      </c>
      <c r="E18" s="13">
        <v>29676759.07</v>
      </c>
      <c r="F18" s="13">
        <v>30065955</v>
      </c>
      <c r="G18" s="14">
        <v>3.44</v>
      </c>
      <c r="H18" s="14">
        <v>0.99</v>
      </c>
      <c r="I18" s="13">
        <v>2473063.2558333334</v>
      </c>
      <c r="J18" s="15">
        <v>8</v>
      </c>
      <c r="K18" s="13">
        <v>83629602.333333448</v>
      </c>
      <c r="L18" s="13">
        <v>5410274.7975000143</v>
      </c>
      <c r="M18" s="13">
        <v>3531152.6100000143</v>
      </c>
      <c r="N18" s="197">
        <v>43647</v>
      </c>
      <c r="O18" s="16">
        <v>45839</v>
      </c>
      <c r="P18" s="13">
        <v>3256973.92</v>
      </c>
      <c r="Q18" s="242" t="e">
        <v>#VALUE!</v>
      </c>
    </row>
    <row r="19" spans="1:17" x14ac:dyDescent="0.2">
      <c r="A19" s="4" t="s">
        <v>16</v>
      </c>
      <c r="B19" s="13">
        <v>104394118</v>
      </c>
      <c r="C19" s="13">
        <v>95629751.219999999</v>
      </c>
      <c r="D19" s="13">
        <v>8764366.7800000012</v>
      </c>
      <c r="E19" s="13">
        <v>1163641.6299999999</v>
      </c>
      <c r="F19" s="13">
        <v>2677355</v>
      </c>
      <c r="G19" s="14">
        <v>3.27</v>
      </c>
      <c r="H19" s="14">
        <v>0.43</v>
      </c>
      <c r="I19" s="13">
        <v>96970.135833333319</v>
      </c>
      <c r="J19" s="15">
        <v>8</v>
      </c>
      <c r="K19" s="13">
        <v>7988605.6933333343</v>
      </c>
      <c r="L19" s="13">
        <v>426207.09750000015</v>
      </c>
      <c r="M19" s="13">
        <v>258872.41000000015</v>
      </c>
      <c r="N19" s="197">
        <v>43647</v>
      </c>
      <c r="O19" s="16">
        <v>45839</v>
      </c>
      <c r="P19" s="13">
        <v>3561.52</v>
      </c>
      <c r="Q19" s="242" t="e">
        <v>#VALUE!</v>
      </c>
    </row>
    <row r="20" spans="1:17" x14ac:dyDescent="0.2">
      <c r="A20" s="4" t="s">
        <v>18</v>
      </c>
      <c r="B20" s="13">
        <v>800464324.92999995</v>
      </c>
      <c r="C20" s="13">
        <v>744166102.09000003</v>
      </c>
      <c r="D20" s="13">
        <v>56298222.839999914</v>
      </c>
      <c r="E20" s="13">
        <v>23935461.609999999</v>
      </c>
      <c r="F20" s="13">
        <v>17480755</v>
      </c>
      <c r="G20" s="14">
        <v>3.22</v>
      </c>
      <c r="H20" s="14">
        <v>1.37</v>
      </c>
      <c r="I20" s="13">
        <v>1994621.8008333333</v>
      </c>
      <c r="J20" s="15">
        <v>8</v>
      </c>
      <c r="K20" s="13">
        <v>40341248.433333248</v>
      </c>
      <c r="L20" s="13">
        <v>2667089.1049999893</v>
      </c>
      <c r="M20" s="13" t="s">
        <v>192</v>
      </c>
      <c r="N20" s="197">
        <v>43647</v>
      </c>
      <c r="O20" s="16">
        <v>45839</v>
      </c>
      <c r="P20" s="13">
        <v>1793902.84</v>
      </c>
      <c r="Q20" s="242" t="e">
        <v>#VALUE!</v>
      </c>
    </row>
    <row r="21" spans="1:17" x14ac:dyDescent="0.2">
      <c r="A21" s="4" t="s">
        <v>43</v>
      </c>
      <c r="B21" s="13">
        <v>300551063.33999997</v>
      </c>
      <c r="C21" s="13">
        <v>279295806.60000002</v>
      </c>
      <c r="D21" s="13">
        <v>21255256.73999995</v>
      </c>
      <c r="E21" s="13">
        <v>7291473.0800000001</v>
      </c>
      <c r="F21" s="13">
        <v>6730317</v>
      </c>
      <c r="G21" s="14">
        <v>3.16</v>
      </c>
      <c r="H21" s="14">
        <v>1.08</v>
      </c>
      <c r="I21" s="13">
        <v>607622.75666666671</v>
      </c>
      <c r="J21" s="15">
        <v>8</v>
      </c>
      <c r="K21" s="13">
        <v>16394274.686666615</v>
      </c>
      <c r="L21" s="13">
        <v>974327.84249999374</v>
      </c>
      <c r="M21" s="13" t="s">
        <v>192</v>
      </c>
      <c r="N21" s="197">
        <v>43647</v>
      </c>
      <c r="O21" s="16">
        <v>45839</v>
      </c>
      <c r="P21" s="13">
        <v>1030149.86</v>
      </c>
      <c r="Q21" s="242" t="e">
        <v>#VALUE!</v>
      </c>
    </row>
    <row r="22" spans="1:17" x14ac:dyDescent="0.2">
      <c r="A22" s="4" t="s">
        <v>54</v>
      </c>
      <c r="B22" s="13">
        <v>1022430792.45</v>
      </c>
      <c r="C22" s="13">
        <v>959833433.20000005</v>
      </c>
      <c r="D22" s="13">
        <v>62597359.25</v>
      </c>
      <c r="E22" s="13">
        <v>26574681.34</v>
      </c>
      <c r="F22" s="13">
        <v>19809810</v>
      </c>
      <c r="G22" s="14">
        <v>3.16</v>
      </c>
      <c r="H22" s="14">
        <v>1.34</v>
      </c>
      <c r="I22" s="13">
        <v>2214556.7783333333</v>
      </c>
      <c r="J22" s="15">
        <v>5</v>
      </c>
      <c r="K22" s="13">
        <v>51524575.358333334</v>
      </c>
      <c r="L22" s="13">
        <v>4595547.8499999996</v>
      </c>
      <c r="M22" s="13">
        <v>2614566.85</v>
      </c>
      <c r="N22" s="197">
        <v>43922</v>
      </c>
      <c r="O22" s="16">
        <v>45748</v>
      </c>
      <c r="P22" s="13">
        <v>3071493</v>
      </c>
      <c r="Q22" s="242" t="e">
        <v>#VALUE!</v>
      </c>
    </row>
    <row r="23" spans="1:17" x14ac:dyDescent="0.2">
      <c r="A23" s="4" t="s">
        <v>38</v>
      </c>
      <c r="B23" s="13">
        <v>1010324720</v>
      </c>
      <c r="C23" s="13">
        <v>941041897.05999994</v>
      </c>
      <c r="D23" s="13">
        <v>69282822.940000057</v>
      </c>
      <c r="E23" s="13">
        <v>24445253.059999999</v>
      </c>
      <c r="F23" s="13">
        <v>23059848</v>
      </c>
      <c r="G23" s="14">
        <v>3</v>
      </c>
      <c r="H23" s="14">
        <v>1.06</v>
      </c>
      <c r="I23" s="13">
        <v>2037104.4216666666</v>
      </c>
      <c r="J23" s="15">
        <v>5</v>
      </c>
      <c r="K23" s="13">
        <v>59097300.831666723</v>
      </c>
      <c r="L23" s="13">
        <v>4632625.3880000114</v>
      </c>
      <c r="M23" s="13">
        <v>2326640.5880000116</v>
      </c>
      <c r="N23" s="197">
        <v>43922</v>
      </c>
      <c r="O23" s="16">
        <v>45748</v>
      </c>
      <c r="P23" s="13">
        <v>2951557.65</v>
      </c>
      <c r="Q23" s="242" t="e">
        <v>#VALUE!</v>
      </c>
    </row>
    <row r="24" spans="1:17" x14ac:dyDescent="0.2">
      <c r="A24" s="4" t="s">
        <v>55</v>
      </c>
      <c r="B24" s="13">
        <v>254239457</v>
      </c>
      <c r="C24" s="13">
        <v>237912337.44999999</v>
      </c>
      <c r="D24" s="13">
        <v>16327119.550000012</v>
      </c>
      <c r="E24" s="13">
        <v>5862621.9900000002</v>
      </c>
      <c r="F24" s="13">
        <v>5680880</v>
      </c>
      <c r="G24" s="14">
        <v>2.87</v>
      </c>
      <c r="H24" s="14">
        <v>1.03</v>
      </c>
      <c r="I24" s="13">
        <v>488551.83250000002</v>
      </c>
      <c r="J24" s="15">
        <v>2</v>
      </c>
      <c r="K24" s="13">
        <v>15350015.885000013</v>
      </c>
      <c r="L24" s="13">
        <v>2482679.775000006</v>
      </c>
      <c r="M24" s="13">
        <v>1062459.775000006</v>
      </c>
      <c r="N24" s="197">
        <v>43831</v>
      </c>
      <c r="O24" s="16">
        <v>45658</v>
      </c>
      <c r="P24" s="13">
        <v>1300133.75</v>
      </c>
      <c r="Q24" s="242" t="e">
        <v>#VALUE!</v>
      </c>
    </row>
    <row r="25" spans="1:17" x14ac:dyDescent="0.2">
      <c r="A25" s="4" t="s">
        <v>51</v>
      </c>
      <c r="B25" s="13">
        <v>2001064841.29</v>
      </c>
      <c r="C25" s="13">
        <v>1887170439.47</v>
      </c>
      <c r="D25" s="13">
        <v>113894401.81999993</v>
      </c>
      <c r="E25" s="13">
        <v>37538741.939999998</v>
      </c>
      <c r="F25" s="13">
        <v>40779947</v>
      </c>
      <c r="G25" s="14">
        <v>2.79</v>
      </c>
      <c r="H25" s="14">
        <v>0.92</v>
      </c>
      <c r="I25" s="13">
        <v>3128228.4949999996</v>
      </c>
      <c r="J25" s="15">
        <v>2</v>
      </c>
      <c r="K25" s="13">
        <v>107637944.82999994</v>
      </c>
      <c r="L25" s="13">
        <v>16167253.909999967</v>
      </c>
      <c r="M25" s="13">
        <v>5972267.1599999666</v>
      </c>
      <c r="N25" s="197">
        <v>43831</v>
      </c>
      <c r="O25" s="16">
        <v>45658</v>
      </c>
      <c r="P25" s="13">
        <v>2572839.23</v>
      </c>
      <c r="Q25" s="242" t="e">
        <v>#VALUE!</v>
      </c>
    </row>
    <row r="26" spans="1:17" x14ac:dyDescent="0.2">
      <c r="A26" s="4" t="s">
        <v>20</v>
      </c>
      <c r="B26" s="13">
        <v>392634217.93000001</v>
      </c>
      <c r="C26" s="13">
        <v>367055677.97000003</v>
      </c>
      <c r="D26" s="13">
        <v>25578539.959999979</v>
      </c>
      <c r="E26" s="13">
        <v>15408537.050000001</v>
      </c>
      <c r="F26" s="13">
        <v>9305817</v>
      </c>
      <c r="G26" s="14">
        <v>2.75</v>
      </c>
      <c r="H26" s="14">
        <v>1.66</v>
      </c>
      <c r="I26" s="13">
        <v>1284044.7541666667</v>
      </c>
      <c r="J26" s="15">
        <v>5</v>
      </c>
      <c r="K26" s="13">
        <v>19158316.189166646</v>
      </c>
      <c r="L26" s="13">
        <v>1393381.1919999956</v>
      </c>
      <c r="M26" s="13" t="s">
        <v>192</v>
      </c>
      <c r="N26" s="197">
        <v>43556</v>
      </c>
      <c r="O26" s="16">
        <v>45748</v>
      </c>
      <c r="P26" s="13">
        <v>988526.22</v>
      </c>
      <c r="Q26" s="242" t="e">
        <v>#VALUE!</v>
      </c>
    </row>
    <row r="27" spans="1:17" x14ac:dyDescent="0.2">
      <c r="A27" s="4" t="s">
        <v>45</v>
      </c>
      <c r="B27" s="13">
        <v>1228777673.53</v>
      </c>
      <c r="C27" s="13">
        <v>1099274631.9300001</v>
      </c>
      <c r="D27" s="13">
        <v>129503041.5999999</v>
      </c>
      <c r="E27" s="13">
        <v>38636858.68</v>
      </c>
      <c r="F27" s="13">
        <v>47456120</v>
      </c>
      <c r="G27" s="14">
        <v>2.73</v>
      </c>
      <c r="H27" s="14">
        <v>0.81</v>
      </c>
      <c r="I27" s="13">
        <v>3219738.2233333332</v>
      </c>
      <c r="J27" s="15">
        <v>2</v>
      </c>
      <c r="K27" s="13">
        <v>123063565.15333323</v>
      </c>
      <c r="L27" s="13">
        <v>17295400.799999952</v>
      </c>
      <c r="M27" s="13">
        <v>5431370.7999999523</v>
      </c>
      <c r="N27" s="197">
        <v>43831</v>
      </c>
      <c r="O27" s="16">
        <v>45658</v>
      </c>
      <c r="P27" s="13">
        <v>3097941.81</v>
      </c>
      <c r="Q27" s="242" t="e">
        <v>#VALUE!</v>
      </c>
    </row>
    <row r="28" spans="1:17" x14ac:dyDescent="0.2">
      <c r="A28" s="4" t="s">
        <v>28</v>
      </c>
      <c r="B28" s="13">
        <v>1059732308</v>
      </c>
      <c r="C28" s="13">
        <v>995197545.69000006</v>
      </c>
      <c r="D28" s="13">
        <v>64534762.309999943</v>
      </c>
      <c r="E28" s="13">
        <v>20297488.66</v>
      </c>
      <c r="F28" s="13">
        <v>24168777</v>
      </c>
      <c r="G28" s="14">
        <v>2.67</v>
      </c>
      <c r="H28" s="14">
        <v>0.84</v>
      </c>
      <c r="I28" s="13">
        <v>1691457.3883333334</v>
      </c>
      <c r="J28" s="15">
        <v>2</v>
      </c>
      <c r="K28" s="13">
        <v>61151847.533333279</v>
      </c>
      <c r="L28" s="13">
        <v>8098604.1549999714</v>
      </c>
      <c r="M28" s="13">
        <v>2056409.9049999714</v>
      </c>
      <c r="N28" s="197">
        <v>43831</v>
      </c>
      <c r="O28" s="16">
        <v>45658</v>
      </c>
      <c r="P28" s="13">
        <v>2022258.07</v>
      </c>
      <c r="Q28" s="242" t="e">
        <v>#VALUE!</v>
      </c>
    </row>
    <row r="29" spans="1:17" x14ac:dyDescent="0.2">
      <c r="A29" s="4" t="s">
        <v>37</v>
      </c>
      <c r="B29" s="13">
        <v>1239472339.1700001</v>
      </c>
      <c r="C29" s="13">
        <v>1175361241.0999999</v>
      </c>
      <c r="D29" s="13">
        <v>64111098.070000172</v>
      </c>
      <c r="E29" s="13">
        <v>18382012.699999999</v>
      </c>
      <c r="F29" s="13">
        <v>24088947</v>
      </c>
      <c r="G29" s="14">
        <v>2.66</v>
      </c>
      <c r="H29" s="14">
        <v>0.76</v>
      </c>
      <c r="I29" s="13">
        <v>1531834.3916666666</v>
      </c>
      <c r="J29" s="15">
        <v>8</v>
      </c>
      <c r="K29" s="13">
        <v>51856422.936666839</v>
      </c>
      <c r="L29" s="13">
        <v>1991650.5087500215</v>
      </c>
      <c r="M29" s="13" t="s">
        <v>192</v>
      </c>
      <c r="N29" s="197">
        <v>43647</v>
      </c>
      <c r="O29" s="16">
        <v>45839</v>
      </c>
      <c r="P29" s="13">
        <v>1909977.64</v>
      </c>
      <c r="Q29" s="242" t="e">
        <v>#VALUE!</v>
      </c>
    </row>
    <row r="30" spans="1:17" x14ac:dyDescent="0.2">
      <c r="A30" s="4" t="s">
        <v>29</v>
      </c>
      <c r="B30" s="13">
        <v>675052951</v>
      </c>
      <c r="C30" s="13">
        <v>637392527.32000005</v>
      </c>
      <c r="D30" s="13">
        <v>37660423.679999948</v>
      </c>
      <c r="E30" s="13">
        <v>10539307.449999999</v>
      </c>
      <c r="F30" s="13">
        <v>14786581</v>
      </c>
      <c r="G30" s="14">
        <v>2.5499999999999998</v>
      </c>
      <c r="H30" s="14">
        <v>0.71</v>
      </c>
      <c r="I30" s="13">
        <v>878275.62083333323</v>
      </c>
      <c r="J30" s="15">
        <v>2</v>
      </c>
      <c r="K30" s="13">
        <v>35903872.43833328</v>
      </c>
      <c r="L30" s="13">
        <v>4043630.8399999738</v>
      </c>
      <c r="M30" s="13" t="s">
        <v>192</v>
      </c>
      <c r="N30" s="197">
        <v>43466</v>
      </c>
      <c r="O30" s="16">
        <v>45658</v>
      </c>
      <c r="P30" s="13">
        <v>3221499.08</v>
      </c>
      <c r="Q30" s="242" t="e">
        <v>#VALUE!</v>
      </c>
    </row>
    <row r="31" spans="1:17" x14ac:dyDescent="0.2">
      <c r="A31" s="4" t="s">
        <v>21</v>
      </c>
      <c r="B31" s="13">
        <v>528328839.02999997</v>
      </c>
      <c r="C31" s="13">
        <v>493153729.95999998</v>
      </c>
      <c r="D31" s="13">
        <v>35175109.069999993</v>
      </c>
      <c r="E31" s="13">
        <v>15100808.810000001</v>
      </c>
      <c r="F31" s="13">
        <v>13880022</v>
      </c>
      <c r="G31" s="14">
        <v>2.5299999999999998</v>
      </c>
      <c r="H31" s="14">
        <v>1.0900000000000001</v>
      </c>
      <c r="I31" s="13">
        <v>1258400.7341666666</v>
      </c>
      <c r="J31" s="15">
        <v>8</v>
      </c>
      <c r="K31" s="13">
        <v>25107903.196666658</v>
      </c>
      <c r="L31" s="13" t="s">
        <v>192</v>
      </c>
      <c r="M31" s="13" t="s">
        <v>192</v>
      </c>
      <c r="N31" s="197">
        <v>43647</v>
      </c>
      <c r="O31" s="16">
        <v>45839</v>
      </c>
      <c r="P31" s="13">
        <v>712878</v>
      </c>
      <c r="Q31" s="242" t="e">
        <v>#VALUE!</v>
      </c>
    </row>
    <row r="32" spans="1:17" x14ac:dyDescent="0.2">
      <c r="A32" s="4" t="s">
        <v>24</v>
      </c>
      <c r="B32" s="13">
        <v>1642297566.0699999</v>
      </c>
      <c r="C32" s="13">
        <v>1539830085.5799999</v>
      </c>
      <c r="D32" s="13">
        <v>102467480.49000001</v>
      </c>
      <c r="E32" s="13">
        <v>36202326.710000001</v>
      </c>
      <c r="F32" s="13">
        <v>40984884</v>
      </c>
      <c r="G32" s="14">
        <v>2.5</v>
      </c>
      <c r="H32" s="14">
        <v>0.88</v>
      </c>
      <c r="I32" s="13">
        <v>3016860.5591666666</v>
      </c>
      <c r="J32" s="15">
        <v>8</v>
      </c>
      <c r="K32" s="13">
        <v>78332596.016666681</v>
      </c>
      <c r="L32" s="13" t="s">
        <v>192</v>
      </c>
      <c r="M32" s="13" t="s">
        <v>192</v>
      </c>
      <c r="N32" s="197">
        <v>43647</v>
      </c>
      <c r="O32" s="16">
        <v>45839</v>
      </c>
      <c r="P32" s="13">
        <v>5201204.8099999996</v>
      </c>
      <c r="Q32" s="242" t="e">
        <v>#VALUE!</v>
      </c>
    </row>
    <row r="33" spans="1:17" x14ac:dyDescent="0.2">
      <c r="A33" s="4" t="s">
        <v>33</v>
      </c>
      <c r="B33" s="13">
        <v>314446387.48000002</v>
      </c>
      <c r="C33" s="13">
        <v>293647342.92000002</v>
      </c>
      <c r="D33" s="13">
        <v>20799044.560000002</v>
      </c>
      <c r="E33" s="13">
        <v>9697497.1300000008</v>
      </c>
      <c r="F33" s="13">
        <v>8369791</v>
      </c>
      <c r="G33" s="14">
        <v>2.4900000000000002</v>
      </c>
      <c r="H33" s="14">
        <v>1.1599999999999999</v>
      </c>
      <c r="I33" s="13">
        <v>808124.76083333336</v>
      </c>
      <c r="J33" s="15">
        <v>8</v>
      </c>
      <c r="K33" s="13">
        <v>14334046.473333336</v>
      </c>
      <c r="L33" s="13" t="s">
        <v>192</v>
      </c>
      <c r="M33" s="13" t="s">
        <v>192</v>
      </c>
      <c r="N33" s="197">
        <v>43647</v>
      </c>
      <c r="O33" s="16">
        <v>45839</v>
      </c>
      <c r="P33" s="13">
        <v>1016407.37</v>
      </c>
      <c r="Q33" s="242" t="e">
        <v>#VALUE!</v>
      </c>
    </row>
    <row r="34" spans="1:17" x14ac:dyDescent="0.2">
      <c r="A34" s="4" t="s">
        <v>56</v>
      </c>
      <c r="B34" s="13">
        <v>1154905413</v>
      </c>
      <c r="C34" s="13">
        <v>1088852317.6900001</v>
      </c>
      <c r="D34" s="13">
        <v>66053095.309999943</v>
      </c>
      <c r="E34" s="13">
        <v>24085245.48</v>
      </c>
      <c r="F34" s="13">
        <v>27571438</v>
      </c>
      <c r="G34" s="14">
        <v>2.4</v>
      </c>
      <c r="H34" s="14">
        <v>0.87</v>
      </c>
      <c r="I34" s="13">
        <v>2007103.79</v>
      </c>
      <c r="J34" s="15">
        <v>8</v>
      </c>
      <c r="K34" s="13">
        <v>49996264.989999942</v>
      </c>
      <c r="L34" s="13" t="s">
        <v>192</v>
      </c>
      <c r="M34" s="13" t="s">
        <v>192</v>
      </c>
      <c r="N34" s="197">
        <v>43647</v>
      </c>
      <c r="O34" s="16">
        <v>45839</v>
      </c>
      <c r="P34" s="13">
        <v>1774001.09</v>
      </c>
      <c r="Q34" s="242" t="e">
        <v>#VALUE!</v>
      </c>
    </row>
    <row r="35" spans="1:17" x14ac:dyDescent="0.2">
      <c r="A35" s="4" t="s">
        <v>42</v>
      </c>
      <c r="B35" s="13">
        <v>346058940</v>
      </c>
      <c r="C35" s="13">
        <v>324497037.77999997</v>
      </c>
      <c r="D35" s="13">
        <v>21561902.220000029</v>
      </c>
      <c r="E35" s="13">
        <v>5914663.4900000002</v>
      </c>
      <c r="F35" s="13">
        <v>9353201</v>
      </c>
      <c r="G35" s="14">
        <v>2.31</v>
      </c>
      <c r="H35" s="14">
        <v>0.63</v>
      </c>
      <c r="I35" s="13">
        <v>492888.6241666667</v>
      </c>
      <c r="J35" s="15">
        <v>2</v>
      </c>
      <c r="K35" s="13">
        <v>20576124.971666694</v>
      </c>
      <c r="L35" s="13">
        <v>1427750.1100000143</v>
      </c>
      <c r="M35" s="13" t="s">
        <v>192</v>
      </c>
      <c r="N35" s="197">
        <v>43831</v>
      </c>
      <c r="O35" s="16">
        <v>45658</v>
      </c>
      <c r="P35" s="13">
        <v>562456.43000000005</v>
      </c>
      <c r="Q35" s="242" t="e">
        <v>#VALUE!</v>
      </c>
    </row>
    <row r="36" spans="1:17" x14ac:dyDescent="0.2">
      <c r="A36" s="4" t="s">
        <v>61</v>
      </c>
      <c r="B36" s="13">
        <v>522049097</v>
      </c>
      <c r="C36" s="13">
        <v>493330341.42000002</v>
      </c>
      <c r="D36" s="13">
        <v>28718755.579999983</v>
      </c>
      <c r="E36" s="13">
        <v>12277866.24</v>
      </c>
      <c r="F36" s="13">
        <v>13105608</v>
      </c>
      <c r="G36" s="14">
        <v>2.19</v>
      </c>
      <c r="H36" s="14">
        <v>0.94</v>
      </c>
      <c r="I36" s="13">
        <v>1023155.52</v>
      </c>
      <c r="J36" s="15">
        <v>8</v>
      </c>
      <c r="K36" s="13">
        <v>20533511.419999983</v>
      </c>
      <c r="L36" s="13" t="s">
        <v>192</v>
      </c>
      <c r="M36" s="13" t="s">
        <v>192</v>
      </c>
      <c r="N36" s="197">
        <v>43647</v>
      </c>
      <c r="O36" s="16">
        <v>45839</v>
      </c>
      <c r="P36" s="13">
        <v>471423.2</v>
      </c>
      <c r="Q36" s="242" t="e">
        <v>#VALUE!</v>
      </c>
    </row>
    <row r="37" spans="1:17" x14ac:dyDescent="0.2">
      <c r="A37" s="4" t="s">
        <v>57</v>
      </c>
      <c r="B37" s="13">
        <v>2879313105.54</v>
      </c>
      <c r="C37" s="13">
        <v>2733681400.5700002</v>
      </c>
      <c r="D37" s="13">
        <v>145631704.96999979</v>
      </c>
      <c r="E37" s="13">
        <v>79292575.920000002</v>
      </c>
      <c r="F37" s="13">
        <v>70613641</v>
      </c>
      <c r="G37" s="14">
        <v>2.06</v>
      </c>
      <c r="H37" s="14">
        <v>1.1200000000000001</v>
      </c>
      <c r="I37" s="13">
        <v>6607714.6600000001</v>
      </c>
      <c r="J37" s="15">
        <v>0</v>
      </c>
      <c r="K37" s="13">
        <v>145631704.96999979</v>
      </c>
      <c r="L37" s="13" t="s">
        <v>193</v>
      </c>
      <c r="M37" s="13" t="s">
        <v>192</v>
      </c>
      <c r="N37" s="197">
        <v>44075</v>
      </c>
      <c r="O37" s="16">
        <v>45536</v>
      </c>
      <c r="P37" s="13">
        <v>8024463.6900000004</v>
      </c>
      <c r="Q37" s="242" t="e">
        <v>#VALUE!</v>
      </c>
    </row>
    <row r="38" spans="1:17" x14ac:dyDescent="0.2">
      <c r="A38" s="4" t="s">
        <v>25</v>
      </c>
      <c r="B38" s="13">
        <v>342887810.45999998</v>
      </c>
      <c r="C38" s="13">
        <v>326028321.44999999</v>
      </c>
      <c r="D38" s="13">
        <v>16859489.00999999</v>
      </c>
      <c r="E38" s="13">
        <v>7826587.71</v>
      </c>
      <c r="F38" s="13">
        <v>8236180</v>
      </c>
      <c r="G38" s="14">
        <v>2.0499999999999998</v>
      </c>
      <c r="H38" s="14">
        <v>0.95</v>
      </c>
      <c r="I38" s="13">
        <v>652215.64249999996</v>
      </c>
      <c r="J38" s="15">
        <v>5</v>
      </c>
      <c r="K38" s="13">
        <v>13598410.79749999</v>
      </c>
      <c r="L38" s="13" t="s">
        <v>192</v>
      </c>
      <c r="M38" s="13" t="s">
        <v>192</v>
      </c>
      <c r="N38" s="197">
        <v>43556</v>
      </c>
      <c r="O38" s="16">
        <v>45748</v>
      </c>
      <c r="P38" s="13">
        <v>774834.09</v>
      </c>
      <c r="Q38" s="242" t="e">
        <v>#VALUE!</v>
      </c>
    </row>
    <row r="39" spans="1:17" x14ac:dyDescent="0.2">
      <c r="A39" s="4" t="s">
        <v>15</v>
      </c>
      <c r="B39" s="13">
        <v>1085275104.5</v>
      </c>
      <c r="C39" s="13">
        <v>1039033664.51</v>
      </c>
      <c r="D39" s="13">
        <v>46241439.99000001</v>
      </c>
      <c r="E39" s="13">
        <v>22153908.989999998</v>
      </c>
      <c r="F39" s="13">
        <v>22858857</v>
      </c>
      <c r="G39" s="14">
        <v>2.02</v>
      </c>
      <c r="H39" s="14">
        <v>0.97</v>
      </c>
      <c r="I39" s="13">
        <v>1846159.0824999998</v>
      </c>
      <c r="J39" s="15">
        <v>5</v>
      </c>
      <c r="K39" s="13">
        <v>37010644.577500008</v>
      </c>
      <c r="L39" s="13" t="s">
        <v>192</v>
      </c>
      <c r="M39" s="13" t="s">
        <v>192</v>
      </c>
      <c r="N39" s="197">
        <v>43556</v>
      </c>
      <c r="O39" s="16">
        <v>45748</v>
      </c>
      <c r="P39" s="13">
        <v>2476876.71</v>
      </c>
      <c r="Q39" s="242" t="e">
        <v>#VALUE!</v>
      </c>
    </row>
    <row r="40" spans="1:17" x14ac:dyDescent="0.2">
      <c r="A40" s="4" t="s">
        <v>31</v>
      </c>
      <c r="B40" s="13">
        <v>1205115490</v>
      </c>
      <c r="C40" s="13">
        <v>1160109138.8099999</v>
      </c>
      <c r="D40" s="13">
        <v>45006351.190000057</v>
      </c>
      <c r="E40" s="13">
        <v>22935563.460000001</v>
      </c>
      <c r="F40" s="13">
        <v>22499042</v>
      </c>
      <c r="G40" s="14">
        <v>2</v>
      </c>
      <c r="H40" s="14">
        <v>1.02</v>
      </c>
      <c r="I40" s="13">
        <v>1911296.9550000001</v>
      </c>
      <c r="J40" s="15">
        <v>5</v>
      </c>
      <c r="K40" s="13">
        <v>35449866.415000059</v>
      </c>
      <c r="L40" s="13" t="s">
        <v>192</v>
      </c>
      <c r="M40" s="13" t="s">
        <v>192</v>
      </c>
      <c r="N40" s="197">
        <v>43922</v>
      </c>
      <c r="O40" s="16">
        <v>45748</v>
      </c>
      <c r="P40" s="13">
        <v>2024535.4</v>
      </c>
      <c r="Q40" s="242" t="e">
        <v>#VALUE!</v>
      </c>
    </row>
    <row r="41" spans="1:17" x14ac:dyDescent="0.2">
      <c r="A41" s="4" t="s">
        <v>27</v>
      </c>
      <c r="B41" s="13">
        <v>1309738768.5599999</v>
      </c>
      <c r="C41" s="13">
        <v>1248727666.6099999</v>
      </c>
      <c r="D41" s="13">
        <v>61011101.950000048</v>
      </c>
      <c r="E41" s="13">
        <v>26558193.039999999</v>
      </c>
      <c r="F41" s="13">
        <v>30738746</v>
      </c>
      <c r="G41" s="14">
        <v>1.98</v>
      </c>
      <c r="H41" s="14">
        <v>0.86</v>
      </c>
      <c r="I41" s="13">
        <v>2213182.7533333334</v>
      </c>
      <c r="J41" s="15">
        <v>8</v>
      </c>
      <c r="K41" s="13">
        <v>43305639.923333377</v>
      </c>
      <c r="L41" s="13" t="s">
        <v>192</v>
      </c>
      <c r="M41" s="13" t="s">
        <v>192</v>
      </c>
      <c r="N41" s="197">
        <v>43647</v>
      </c>
      <c r="O41" s="16">
        <v>45839</v>
      </c>
      <c r="P41" s="13">
        <v>3168474.21</v>
      </c>
      <c r="Q41" s="242" t="e">
        <v>#VALUE!</v>
      </c>
    </row>
    <row r="42" spans="1:17" x14ac:dyDescent="0.2">
      <c r="A42" s="4" t="s">
        <v>50</v>
      </c>
      <c r="B42" s="13">
        <v>545409679.30999994</v>
      </c>
      <c r="C42" s="13">
        <v>522805333.25</v>
      </c>
      <c r="D42" s="13">
        <v>22604346.059999943</v>
      </c>
      <c r="E42" s="13">
        <v>14064194.939999999</v>
      </c>
      <c r="F42" s="13">
        <v>11656242</v>
      </c>
      <c r="G42" s="14">
        <v>1.94</v>
      </c>
      <c r="H42" s="14">
        <v>1.21</v>
      </c>
      <c r="I42" s="13">
        <v>1172016.2449999999</v>
      </c>
      <c r="J42" s="15">
        <v>2</v>
      </c>
      <c r="K42" s="13">
        <v>20260313.569999944</v>
      </c>
      <c r="L42" s="13" t="s">
        <v>192</v>
      </c>
      <c r="M42" s="13" t="s">
        <v>192</v>
      </c>
      <c r="N42" s="197">
        <v>43831</v>
      </c>
      <c r="O42" s="16">
        <v>45658</v>
      </c>
      <c r="P42" s="13">
        <v>2233685.0099999998</v>
      </c>
      <c r="Q42" s="242" t="e">
        <v>#VALUE!</v>
      </c>
    </row>
    <row r="43" spans="1:17" x14ac:dyDescent="0.2">
      <c r="A43" s="4" t="s">
        <v>41</v>
      </c>
      <c r="B43" s="13">
        <v>98701064</v>
      </c>
      <c r="C43" s="13">
        <v>93172844.109999999</v>
      </c>
      <c r="D43" s="13">
        <v>5528219.8900000006</v>
      </c>
      <c r="E43" s="13">
        <v>3356175.21</v>
      </c>
      <c r="F43" s="13">
        <v>2898567</v>
      </c>
      <c r="G43" s="14">
        <v>1.91</v>
      </c>
      <c r="H43" s="14">
        <v>1.1599999999999999</v>
      </c>
      <c r="I43" s="13">
        <v>279681.26750000002</v>
      </c>
      <c r="J43" s="15">
        <v>8</v>
      </c>
      <c r="K43" s="13">
        <v>3290769.7500000005</v>
      </c>
      <c r="L43" s="13" t="s">
        <v>192</v>
      </c>
      <c r="M43" s="13" t="s">
        <v>192</v>
      </c>
      <c r="N43" s="197">
        <v>43647</v>
      </c>
      <c r="O43" s="16">
        <v>45839</v>
      </c>
      <c r="P43" s="13">
        <v>26098.9</v>
      </c>
      <c r="Q43" s="242" t="e">
        <v>#VALUE!</v>
      </c>
    </row>
    <row r="44" spans="1:17" x14ac:dyDescent="0.2">
      <c r="A44" s="4" t="s">
        <v>34</v>
      </c>
      <c r="B44" s="13">
        <v>1394382977.99</v>
      </c>
      <c r="C44" s="13">
        <v>1331892941.28</v>
      </c>
      <c r="D44" s="13">
        <v>62490036.710000038</v>
      </c>
      <c r="E44" s="13">
        <v>44670837.630000003</v>
      </c>
      <c r="F44" s="13">
        <v>34869850</v>
      </c>
      <c r="G44" s="14">
        <v>1.79</v>
      </c>
      <c r="H44" s="14">
        <v>1.28</v>
      </c>
      <c r="I44" s="13">
        <v>3722569.8025000002</v>
      </c>
      <c r="J44" s="15">
        <v>5</v>
      </c>
      <c r="K44" s="13">
        <v>43877187.697500035</v>
      </c>
      <c r="L44" s="13" t="s">
        <v>192</v>
      </c>
      <c r="M44" s="13" t="s">
        <v>192</v>
      </c>
      <c r="N44" s="197">
        <v>43922</v>
      </c>
      <c r="O44" s="16">
        <v>45748</v>
      </c>
      <c r="P44" s="13">
        <v>1870923.93</v>
      </c>
      <c r="Q44" s="242" t="e">
        <v>#VALUE!</v>
      </c>
    </row>
    <row r="45" spans="1:17" x14ac:dyDescent="0.2">
      <c r="A45" s="4" t="s">
        <v>63</v>
      </c>
      <c r="B45" s="13">
        <v>1082941284</v>
      </c>
      <c r="C45" s="13">
        <v>1034980553.0599999</v>
      </c>
      <c r="D45" s="13">
        <v>47960730.940000057</v>
      </c>
      <c r="E45" s="13">
        <v>23089091.039999999</v>
      </c>
      <c r="F45" s="13">
        <v>27168342</v>
      </c>
      <c r="G45" s="14">
        <v>1.77</v>
      </c>
      <c r="H45" s="14">
        <v>0.85</v>
      </c>
      <c r="I45" s="13">
        <v>1924090.92</v>
      </c>
      <c r="J45" s="15">
        <v>5</v>
      </c>
      <c r="K45" s="13">
        <v>38340276.340000056</v>
      </c>
      <c r="L45" s="13" t="s">
        <v>192</v>
      </c>
      <c r="M45" s="13" t="s">
        <v>192</v>
      </c>
      <c r="N45" s="197">
        <v>43922</v>
      </c>
      <c r="O45" s="16">
        <v>45748</v>
      </c>
      <c r="P45" s="13">
        <v>864621.15</v>
      </c>
      <c r="Q45" s="242" t="e">
        <v>#VALUE!</v>
      </c>
    </row>
    <row r="46" spans="1:17" x14ac:dyDescent="0.2">
      <c r="A46" s="4" t="s">
        <v>59</v>
      </c>
      <c r="B46" s="13">
        <v>277600986</v>
      </c>
      <c r="C46" s="13">
        <v>264932742.03</v>
      </c>
      <c r="D46" s="13">
        <v>12668243.969999999</v>
      </c>
      <c r="E46" s="13">
        <v>9682308.5500000007</v>
      </c>
      <c r="F46" s="13">
        <v>7461397</v>
      </c>
      <c r="G46" s="14">
        <v>1.7</v>
      </c>
      <c r="H46" s="14">
        <v>1.3</v>
      </c>
      <c r="I46" s="13">
        <v>806859.0458333334</v>
      </c>
      <c r="J46" s="15">
        <v>8</v>
      </c>
      <c r="K46" s="13">
        <v>6213371.6033333316</v>
      </c>
      <c r="L46" s="13" t="s">
        <v>192</v>
      </c>
      <c r="M46" s="13" t="s">
        <v>192</v>
      </c>
      <c r="N46" s="197">
        <v>43647</v>
      </c>
      <c r="O46" s="16">
        <v>45839</v>
      </c>
      <c r="P46" s="13">
        <v>234601</v>
      </c>
      <c r="Q46" s="242" t="e">
        <v>#VALUE!</v>
      </c>
    </row>
    <row r="47" spans="1:17" x14ac:dyDescent="0.2">
      <c r="A47" s="4" t="s">
        <v>49</v>
      </c>
      <c r="B47" s="13">
        <v>685388676.61000001</v>
      </c>
      <c r="C47" s="13">
        <v>662489417.62</v>
      </c>
      <c r="D47" s="13">
        <v>22899258.99000001</v>
      </c>
      <c r="E47" s="13">
        <v>16483289.890000001</v>
      </c>
      <c r="F47" s="13">
        <v>13963452</v>
      </c>
      <c r="G47" s="14">
        <v>1.64</v>
      </c>
      <c r="H47" s="14">
        <v>1.18</v>
      </c>
      <c r="I47" s="13">
        <v>1373607.4908333335</v>
      </c>
      <c r="J47" s="15">
        <v>5</v>
      </c>
      <c r="K47" s="13">
        <v>16031221.535833342</v>
      </c>
      <c r="L47" s="13" t="s">
        <v>192</v>
      </c>
      <c r="M47" s="13" t="s">
        <v>192</v>
      </c>
      <c r="N47" s="197">
        <v>43922</v>
      </c>
      <c r="O47" s="16">
        <v>45748</v>
      </c>
      <c r="P47" s="13">
        <v>1219852.74</v>
      </c>
      <c r="Q47" s="242" t="e">
        <v>#VALUE!</v>
      </c>
    </row>
    <row r="48" spans="1:17" x14ac:dyDescent="0.2">
      <c r="A48" s="4" t="s">
        <v>48</v>
      </c>
      <c r="B48" s="13">
        <v>1940110596.77</v>
      </c>
      <c r="C48" s="13">
        <v>1865842527.4100001</v>
      </c>
      <c r="D48" s="13">
        <v>74268069.359999895</v>
      </c>
      <c r="E48" s="13">
        <v>41147780.590000004</v>
      </c>
      <c r="F48" s="13">
        <v>45492764</v>
      </c>
      <c r="G48" s="14">
        <v>1.63</v>
      </c>
      <c r="H48" s="14">
        <v>0.9</v>
      </c>
      <c r="I48" s="13">
        <v>3428981.7158333338</v>
      </c>
      <c r="J48" s="15">
        <v>8</v>
      </c>
      <c r="K48" s="13">
        <v>46836215.633333221</v>
      </c>
      <c r="L48" s="13" t="s">
        <v>192</v>
      </c>
      <c r="M48" s="13" t="s">
        <v>192</v>
      </c>
      <c r="N48" s="197">
        <v>43647</v>
      </c>
      <c r="O48" s="16">
        <v>45839</v>
      </c>
      <c r="P48" s="13">
        <v>5172912.22</v>
      </c>
      <c r="Q48" s="242" t="e">
        <v>#VALUE!</v>
      </c>
    </row>
    <row r="49" spans="1:17" x14ac:dyDescent="0.2">
      <c r="A49" s="4" t="s">
        <v>32</v>
      </c>
      <c r="B49" s="13">
        <v>497245980</v>
      </c>
      <c r="C49" s="13">
        <v>479658501.13999999</v>
      </c>
      <c r="D49" s="13">
        <v>17587478.860000014</v>
      </c>
      <c r="E49" s="13">
        <v>11142932.119999999</v>
      </c>
      <c r="F49" s="13">
        <v>11808636</v>
      </c>
      <c r="G49" s="14">
        <v>1.49</v>
      </c>
      <c r="H49" s="14">
        <v>0.94</v>
      </c>
      <c r="I49" s="13">
        <v>928577.67666666664</v>
      </c>
      <c r="J49" s="15">
        <v>2</v>
      </c>
      <c r="K49" s="13">
        <v>15730323.506666681</v>
      </c>
      <c r="L49" s="13" t="s">
        <v>192</v>
      </c>
      <c r="M49" s="13" t="s">
        <v>192</v>
      </c>
      <c r="N49" s="197">
        <v>43831</v>
      </c>
      <c r="O49" s="16">
        <v>45658</v>
      </c>
      <c r="P49" s="13">
        <v>1219149.31</v>
      </c>
      <c r="Q49" s="242" t="e">
        <v>#VALUE!</v>
      </c>
    </row>
    <row r="50" spans="1:17" x14ac:dyDescent="0.2">
      <c r="A50" s="4" t="s">
        <v>17</v>
      </c>
      <c r="B50" s="13">
        <v>389160034</v>
      </c>
      <c r="C50" s="13">
        <v>375316738.52999997</v>
      </c>
      <c r="D50" s="13">
        <v>13843295.470000029</v>
      </c>
      <c r="E50" s="13">
        <v>11822607.15</v>
      </c>
      <c r="F50" s="13">
        <v>10126728</v>
      </c>
      <c r="G50" s="14">
        <v>1.37</v>
      </c>
      <c r="H50" s="14">
        <v>1.17</v>
      </c>
      <c r="I50" s="13">
        <v>985217.26250000007</v>
      </c>
      <c r="J50" s="15">
        <v>8</v>
      </c>
      <c r="K50" s="13">
        <v>5961557.3700000281</v>
      </c>
      <c r="L50" s="13" t="s">
        <v>192</v>
      </c>
      <c r="M50" s="13" t="s">
        <v>192</v>
      </c>
      <c r="N50" s="197">
        <v>43647</v>
      </c>
      <c r="O50" s="16">
        <v>45839</v>
      </c>
      <c r="P50" s="13">
        <v>993600.58</v>
      </c>
      <c r="Q50" s="242" t="e">
        <v>#VALUE!</v>
      </c>
    </row>
    <row r="51" spans="1:17" x14ac:dyDescent="0.2">
      <c r="A51" s="4" t="s">
        <v>58</v>
      </c>
      <c r="B51" s="13">
        <v>238203233</v>
      </c>
      <c r="C51" s="13">
        <v>233410450.40000001</v>
      </c>
      <c r="D51" s="13">
        <v>4792782.599999994</v>
      </c>
      <c r="E51" s="13">
        <v>6962652.5099999998</v>
      </c>
      <c r="F51" s="13">
        <v>5501208</v>
      </c>
      <c r="G51" s="14">
        <v>0.87</v>
      </c>
      <c r="H51" s="14">
        <v>1.27</v>
      </c>
      <c r="I51" s="13">
        <v>580221.04249999998</v>
      </c>
      <c r="J51" s="15">
        <v>8</v>
      </c>
      <c r="K51" s="13">
        <v>151014.25999999419</v>
      </c>
      <c r="L51" s="13" t="s">
        <v>192</v>
      </c>
      <c r="M51" s="13" t="s">
        <v>192</v>
      </c>
      <c r="N51" s="197">
        <v>43647</v>
      </c>
      <c r="O51" s="16">
        <v>45839</v>
      </c>
      <c r="P51" s="13">
        <v>6696.23</v>
      </c>
      <c r="Q51" s="242" t="e">
        <v>#VALUE!</v>
      </c>
    </row>
    <row r="52" spans="1:17" x14ac:dyDescent="0.2">
      <c r="A52" s="4" t="s">
        <v>22</v>
      </c>
      <c r="B52" s="13">
        <v>75470621</v>
      </c>
      <c r="C52" s="13">
        <v>73471996.040000007</v>
      </c>
      <c r="D52" s="18">
        <v>1998624.9599999934</v>
      </c>
      <c r="E52" s="13">
        <v>2841296.09</v>
      </c>
      <c r="F52" s="13">
        <v>2752623</v>
      </c>
      <c r="G52" s="14">
        <v>0.73</v>
      </c>
      <c r="H52" s="14">
        <v>1.03</v>
      </c>
      <c r="I52" s="18">
        <v>236774.67416666666</v>
      </c>
      <c r="J52" s="15">
        <v>8</v>
      </c>
      <c r="K52" s="18">
        <v>104427.56666666013</v>
      </c>
      <c r="L52" s="18" t="s">
        <v>192</v>
      </c>
      <c r="M52" s="18" t="s">
        <v>192</v>
      </c>
      <c r="N52" s="198">
        <v>43647</v>
      </c>
      <c r="O52" s="16">
        <v>45839</v>
      </c>
      <c r="P52" s="13">
        <v>293376.93</v>
      </c>
      <c r="Q52" s="242" t="e">
        <v>#VALUE!</v>
      </c>
    </row>
    <row r="53" spans="1:17" x14ac:dyDescent="0.25">
      <c r="A53" s="36" t="s">
        <v>65</v>
      </c>
      <c r="B53" s="33">
        <v>43056918036.709999</v>
      </c>
      <c r="C53" s="13">
        <v>40217182099.949997</v>
      </c>
      <c r="D53" s="33">
        <v>2839735936.7600021</v>
      </c>
      <c r="E53" s="13">
        <v>933011569.75999999</v>
      </c>
      <c r="F53" s="13">
        <v>981907757</v>
      </c>
      <c r="G53" s="14">
        <v>2.89</v>
      </c>
      <c r="H53" s="14">
        <v>0.95</v>
      </c>
      <c r="I53" s="33">
        <v>77750964.146666661</v>
      </c>
      <c r="J53" s="34"/>
      <c r="K53" s="35"/>
      <c r="L53" s="35"/>
      <c r="M53" s="35"/>
      <c r="N53" s="35"/>
      <c r="O53" s="35"/>
      <c r="P53" s="33">
        <v>102034014.30000001</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29</v>
      </c>
      <c r="H56" s="25"/>
    </row>
    <row r="57" spans="1:17" ht="27" customHeight="1" thickBot="1" x14ac:dyDescent="0.3">
      <c r="D57" s="248" t="s">
        <v>67</v>
      </c>
      <c r="E57" s="249"/>
      <c r="F57" s="249"/>
      <c r="G57" s="27"/>
      <c r="H57" s="28">
        <v>29</v>
      </c>
    </row>
  </sheetData>
  <mergeCells count="2">
    <mergeCell ref="D56:F56"/>
    <mergeCell ref="D57:F57"/>
  </mergeCells>
  <conditionalFormatting sqref="G54">
    <cfRule type="cellIs" dxfId="279" priority="13" stopIfTrue="1" operator="greaterThan">
      <formula>2.5</formula>
    </cfRule>
    <cfRule type="cellIs" dxfId="278" priority="14" stopIfTrue="1" operator="between">
      <formula>2.01</formula>
      <formula>2.5</formula>
    </cfRule>
  </conditionalFormatting>
  <conditionalFormatting sqref="H3:H53">
    <cfRule type="cellIs" dxfId="277" priority="12" stopIfTrue="1" operator="lessThan">
      <formula>1</formula>
    </cfRule>
  </conditionalFormatting>
  <conditionalFormatting sqref="G3:G53">
    <cfRule type="cellIs" dxfId="276" priority="10" stopIfTrue="1" operator="greaterThan">
      <formula>2.5</formula>
    </cfRule>
    <cfRule type="cellIs" dxfId="275" priority="11" stopIfTrue="1" operator="between">
      <formula>2.01</formula>
      <formula>2.5</formula>
    </cfRule>
  </conditionalFormatting>
  <conditionalFormatting sqref="K3:K52">
    <cfRule type="cellIs" dxfId="274" priority="8" stopIfTrue="1" operator="greaterThan">
      <formula>$F3*2.5</formula>
    </cfRule>
    <cfRule type="cellIs" dxfId="273" priority="9" stopIfTrue="1" operator="between">
      <formula>$F3*2</formula>
      <formula>$F3*2.5</formula>
    </cfRule>
  </conditionalFormatting>
  <conditionalFormatting sqref="G54">
    <cfRule type="cellIs" dxfId="272" priority="6" stopIfTrue="1" operator="greaterThan">
      <formula>2.5</formula>
    </cfRule>
    <cfRule type="cellIs" dxfId="271" priority="7" stopIfTrue="1" operator="between">
      <formula>2.01</formula>
      <formula>2.5</formula>
    </cfRule>
  </conditionalFormatting>
  <conditionalFormatting sqref="H3:H53">
    <cfRule type="cellIs" dxfId="270" priority="5" stopIfTrue="1" operator="lessThan">
      <formula>1</formula>
    </cfRule>
  </conditionalFormatting>
  <conditionalFormatting sqref="G3:G53">
    <cfRule type="cellIs" dxfId="269" priority="3" stopIfTrue="1" operator="greaterThan">
      <formula>2.5</formula>
    </cfRule>
    <cfRule type="cellIs" dxfId="268" priority="4" stopIfTrue="1" operator="between">
      <formula>2.01</formula>
      <formula>2.5</formula>
    </cfRule>
  </conditionalFormatting>
  <conditionalFormatting sqref="K3:K52">
    <cfRule type="cellIs" dxfId="267" priority="1" stopIfTrue="1" operator="greaterThan">
      <formula>$F3*2.5</formula>
    </cfRule>
    <cfRule type="cellIs" dxfId="266"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87C1E-3D3E-4806-8483-7D44814A8921}">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Q1" sqref="Q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customWidth="1"/>
    <col min="17" max="17" width="16.54296875" style="17" hidden="1" customWidth="1"/>
    <col min="18" max="16384" width="9.1796875" style="17"/>
  </cols>
  <sheetData>
    <row r="1" spans="1:17" s="8" customFormat="1" ht="18" x14ac:dyDescent="0.25">
      <c r="A1" s="4" t="s">
        <v>283</v>
      </c>
      <c r="B1" s="196" t="s">
        <v>284</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62</v>
      </c>
      <c r="B3" s="13">
        <v>722479384.32000005</v>
      </c>
      <c r="C3" s="13">
        <v>641752470.92999995</v>
      </c>
      <c r="D3" s="13">
        <v>80726913.390000105</v>
      </c>
      <c r="E3" s="13">
        <v>12998961.699999999</v>
      </c>
      <c r="F3" s="13">
        <v>13783001</v>
      </c>
      <c r="G3" s="14">
        <v>5.86</v>
      </c>
      <c r="H3" s="14">
        <v>0.94</v>
      </c>
      <c r="I3" s="13">
        <v>1083246.8083333333</v>
      </c>
      <c r="J3" s="15">
        <v>7</v>
      </c>
      <c r="K3" s="13">
        <v>73144185.731666774</v>
      </c>
      <c r="L3" s="13">
        <v>7594415.9128571581</v>
      </c>
      <c r="M3" s="13">
        <v>6609915.8414285863</v>
      </c>
      <c r="N3" s="197">
        <v>43647</v>
      </c>
      <c r="O3" s="16">
        <v>45839</v>
      </c>
      <c r="P3" s="13">
        <v>864347.56</v>
      </c>
      <c r="Q3" s="243" t="e">
        <v>#VALUE!</v>
      </c>
    </row>
    <row r="4" spans="1:17" x14ac:dyDescent="0.2">
      <c r="A4" s="4" t="s">
        <v>46</v>
      </c>
      <c r="B4" s="13">
        <v>1834758280.3599999</v>
      </c>
      <c r="C4" s="13">
        <v>1567576975.8</v>
      </c>
      <c r="D4" s="13">
        <v>267181304.55999994</v>
      </c>
      <c r="E4" s="13">
        <v>44088709.969999999</v>
      </c>
      <c r="F4" s="13">
        <v>46162390</v>
      </c>
      <c r="G4" s="14">
        <v>5.79</v>
      </c>
      <c r="H4" s="14">
        <v>0.96</v>
      </c>
      <c r="I4" s="13">
        <v>3674059.1641666666</v>
      </c>
      <c r="J4" s="15">
        <v>1</v>
      </c>
      <c r="K4" s="13">
        <v>263507245.39583328</v>
      </c>
      <c r="L4" s="13">
        <v>174856524.55999994</v>
      </c>
      <c r="M4" s="13">
        <v>151775329.55999994</v>
      </c>
      <c r="N4" s="197">
        <v>43831</v>
      </c>
      <c r="O4" s="16">
        <v>45658</v>
      </c>
      <c r="P4" s="13">
        <v>4859744.72</v>
      </c>
      <c r="Q4" s="242" t="e">
        <v>#VALUE!</v>
      </c>
    </row>
    <row r="5" spans="1:17" x14ac:dyDescent="0.2">
      <c r="A5" s="4" t="s">
        <v>35</v>
      </c>
      <c r="B5" s="13">
        <v>1503333344.97</v>
      </c>
      <c r="C5" s="13">
        <v>1306747657.25</v>
      </c>
      <c r="D5" s="13">
        <v>196585687.72000003</v>
      </c>
      <c r="E5" s="13">
        <v>14248870.279999999</v>
      </c>
      <c r="F5" s="13">
        <v>34090474</v>
      </c>
      <c r="G5" s="14">
        <v>5.77</v>
      </c>
      <c r="H5" s="14">
        <v>0.42</v>
      </c>
      <c r="I5" s="13">
        <v>1187405.8566666667</v>
      </c>
      <c r="J5" s="15">
        <v>7</v>
      </c>
      <c r="K5" s="13">
        <v>188273846.72333336</v>
      </c>
      <c r="L5" s="13">
        <v>18343534.245714288</v>
      </c>
      <c r="M5" s="13">
        <v>15908500.388571432</v>
      </c>
      <c r="N5" s="197">
        <v>43647</v>
      </c>
      <c r="O5" s="16">
        <v>45839</v>
      </c>
      <c r="P5" s="13">
        <v>177017.27</v>
      </c>
      <c r="Q5" s="242" t="e">
        <v>#VALUE!</v>
      </c>
    </row>
    <row r="6" spans="1:17" x14ac:dyDescent="0.2">
      <c r="A6" s="4" t="s">
        <v>23</v>
      </c>
      <c r="B6" s="13">
        <v>1137390436.8499999</v>
      </c>
      <c r="C6" s="13">
        <v>1005254228.2</v>
      </c>
      <c r="D6" s="13">
        <v>132136208.64999986</v>
      </c>
      <c r="E6" s="13">
        <v>24079573.82</v>
      </c>
      <c r="F6" s="13">
        <v>24778539</v>
      </c>
      <c r="G6" s="14">
        <v>5.33</v>
      </c>
      <c r="H6" s="14">
        <v>0.97</v>
      </c>
      <c r="I6" s="13">
        <v>2006631.1516666666</v>
      </c>
      <c r="J6" s="15">
        <v>7</v>
      </c>
      <c r="K6" s="13">
        <v>118089790.58833319</v>
      </c>
      <c r="L6" s="13">
        <v>11797018.664285693</v>
      </c>
      <c r="M6" s="13">
        <v>10027123.021428552</v>
      </c>
      <c r="N6" s="197">
        <v>43647</v>
      </c>
      <c r="O6" s="16">
        <v>45839</v>
      </c>
      <c r="P6" s="13">
        <v>13301037.689999999</v>
      </c>
      <c r="Q6" s="242" t="e">
        <v>#VALUE!</v>
      </c>
    </row>
    <row r="7" spans="1:17" x14ac:dyDescent="0.2">
      <c r="A7" s="4" t="s">
        <v>64</v>
      </c>
      <c r="B7" s="13">
        <v>124445693.39</v>
      </c>
      <c r="C7" s="13">
        <v>105956369.59</v>
      </c>
      <c r="D7" s="13">
        <v>18489323.799999997</v>
      </c>
      <c r="E7" s="13">
        <v>1790964.17</v>
      </c>
      <c r="F7" s="13">
        <v>3545933</v>
      </c>
      <c r="G7" s="14">
        <v>5.21</v>
      </c>
      <c r="H7" s="14">
        <v>0.51</v>
      </c>
      <c r="I7" s="13">
        <v>149247.01416666666</v>
      </c>
      <c r="J7" s="15">
        <v>1</v>
      </c>
      <c r="K7" s="13">
        <v>18340076.785833329</v>
      </c>
      <c r="L7" s="13">
        <v>11397457.799999997</v>
      </c>
      <c r="M7" s="13">
        <v>9624491.299999997</v>
      </c>
      <c r="N7" s="197">
        <v>43831</v>
      </c>
      <c r="O7" s="16">
        <v>45658</v>
      </c>
      <c r="P7" s="13">
        <v>764280.63</v>
      </c>
      <c r="Q7" s="242" t="e">
        <v>#VALUE!</v>
      </c>
    </row>
    <row r="8" spans="1:17" x14ac:dyDescent="0.2">
      <c r="A8" s="4" t="s">
        <v>47</v>
      </c>
      <c r="B8" s="13">
        <v>190999038.36000001</v>
      </c>
      <c r="C8" s="13">
        <v>173974546.02000001</v>
      </c>
      <c r="D8" s="13">
        <v>17024492.340000004</v>
      </c>
      <c r="E8" s="13">
        <v>2511931.5499999998</v>
      </c>
      <c r="F8" s="13">
        <v>3551615</v>
      </c>
      <c r="G8" s="14">
        <v>4.79</v>
      </c>
      <c r="H8" s="14">
        <v>0.71</v>
      </c>
      <c r="I8" s="13">
        <v>209327.62916666665</v>
      </c>
      <c r="J8" s="15">
        <v>7</v>
      </c>
      <c r="K8" s="13">
        <v>15559198.935833337</v>
      </c>
      <c r="L8" s="13">
        <v>1417323.1914285719</v>
      </c>
      <c r="M8" s="13">
        <v>1163636.4057142863</v>
      </c>
      <c r="N8" s="197">
        <v>43647</v>
      </c>
      <c r="O8" s="16">
        <v>45839</v>
      </c>
      <c r="P8" s="13">
        <v>123573.57</v>
      </c>
      <c r="Q8" s="242" t="e">
        <v>#VALUE!</v>
      </c>
    </row>
    <row r="9" spans="1:17" x14ac:dyDescent="0.2">
      <c r="A9" s="4" t="s">
        <v>36</v>
      </c>
      <c r="B9" s="13">
        <v>872347192</v>
      </c>
      <c r="C9" s="13">
        <v>783186576.38</v>
      </c>
      <c r="D9" s="13">
        <v>89160615.620000005</v>
      </c>
      <c r="E9" s="13">
        <v>15867008.02</v>
      </c>
      <c r="F9" s="13">
        <v>19090913</v>
      </c>
      <c r="G9" s="14">
        <v>4.67</v>
      </c>
      <c r="H9" s="14">
        <v>0.83</v>
      </c>
      <c r="I9" s="13">
        <v>1322250.6683333332</v>
      </c>
      <c r="J9" s="15">
        <v>0</v>
      </c>
      <c r="K9" s="13">
        <v>89160615.620000005</v>
      </c>
      <c r="L9" s="13" t="s">
        <v>193</v>
      </c>
      <c r="M9" s="13" t="s">
        <v>193</v>
      </c>
      <c r="N9" s="197">
        <v>43739</v>
      </c>
      <c r="O9" s="16">
        <v>45566</v>
      </c>
      <c r="P9" s="13">
        <v>0</v>
      </c>
      <c r="Q9" s="242" t="e">
        <v>#VALUE!</v>
      </c>
    </row>
    <row r="10" spans="1:17" x14ac:dyDescent="0.2">
      <c r="A10" s="4" t="s">
        <v>52</v>
      </c>
      <c r="B10" s="13">
        <v>1966895481</v>
      </c>
      <c r="C10" s="13">
        <v>1866473342.22</v>
      </c>
      <c r="D10" s="13">
        <v>100422138.77999997</v>
      </c>
      <c r="E10" s="13">
        <v>19733876.309999999</v>
      </c>
      <c r="F10" s="13">
        <v>21788490</v>
      </c>
      <c r="G10" s="14">
        <v>4.6100000000000003</v>
      </c>
      <c r="H10" s="14">
        <v>0.91</v>
      </c>
      <c r="I10" s="13">
        <v>1644489.6924999999</v>
      </c>
      <c r="J10" s="15">
        <v>7</v>
      </c>
      <c r="K10" s="13">
        <v>88910710.932499975</v>
      </c>
      <c r="L10" s="13">
        <v>8120736.9685714245</v>
      </c>
      <c r="M10" s="13">
        <v>6564416.2542857099</v>
      </c>
      <c r="N10" s="197">
        <v>43647</v>
      </c>
      <c r="O10" s="16">
        <v>45839</v>
      </c>
      <c r="P10" s="13">
        <v>1165682.1299999999</v>
      </c>
      <c r="Q10" s="242" t="e">
        <v>#VALUE!</v>
      </c>
    </row>
    <row r="11" spans="1:17" x14ac:dyDescent="0.2">
      <c r="A11" s="4" t="s">
        <v>30</v>
      </c>
      <c r="B11" s="13">
        <v>1194130799.73</v>
      </c>
      <c r="C11" s="13">
        <v>1074529604.51</v>
      </c>
      <c r="D11" s="13">
        <v>119601195.22000003</v>
      </c>
      <c r="E11" s="13">
        <v>20625031.620000001</v>
      </c>
      <c r="F11" s="13">
        <v>25988523</v>
      </c>
      <c r="G11" s="14">
        <v>4.5999999999999996</v>
      </c>
      <c r="H11" s="14">
        <v>0.79</v>
      </c>
      <c r="I11" s="13">
        <v>1718752.635</v>
      </c>
      <c r="J11" s="15">
        <v>7</v>
      </c>
      <c r="K11" s="13">
        <v>107569926.77500004</v>
      </c>
      <c r="L11" s="13">
        <v>9660592.7457142901</v>
      </c>
      <c r="M11" s="13">
        <v>7804269.6742857182</v>
      </c>
      <c r="N11" s="197">
        <v>43647</v>
      </c>
      <c r="O11" s="16">
        <v>45839</v>
      </c>
      <c r="P11" s="13">
        <v>2417121.63</v>
      </c>
      <c r="Q11" s="242" t="e">
        <v>#VALUE!</v>
      </c>
    </row>
    <row r="12" spans="1:17" x14ac:dyDescent="0.2">
      <c r="A12" s="4" t="s">
        <v>40</v>
      </c>
      <c r="B12" s="13">
        <v>511163315.91000003</v>
      </c>
      <c r="C12" s="13">
        <v>464043381.81999999</v>
      </c>
      <c r="D12" s="13">
        <v>47119934.090000033</v>
      </c>
      <c r="E12" s="13">
        <v>5035092.16</v>
      </c>
      <c r="F12" s="13">
        <v>10598087</v>
      </c>
      <c r="G12" s="14">
        <v>4.45</v>
      </c>
      <c r="H12" s="14">
        <v>0.48</v>
      </c>
      <c r="I12" s="13">
        <v>419591.01333333337</v>
      </c>
      <c r="J12" s="15">
        <v>7</v>
      </c>
      <c r="K12" s="13">
        <v>44182796.9966667</v>
      </c>
      <c r="L12" s="13">
        <v>3703394.2985714334</v>
      </c>
      <c r="M12" s="13">
        <v>2946388.0842857189</v>
      </c>
      <c r="N12" s="197">
        <v>43647</v>
      </c>
      <c r="O12" s="16">
        <v>45839</v>
      </c>
      <c r="P12" s="13">
        <v>476372.02</v>
      </c>
      <c r="Q12" s="242" t="e">
        <v>#VALUE!</v>
      </c>
    </row>
    <row r="13" spans="1:17" x14ac:dyDescent="0.2">
      <c r="A13" s="4" t="s">
        <v>19</v>
      </c>
      <c r="B13" s="13">
        <v>1468177330.9100001</v>
      </c>
      <c r="C13" s="13">
        <v>1337029141.76</v>
      </c>
      <c r="D13" s="13">
        <v>131148189.1500001</v>
      </c>
      <c r="E13" s="13">
        <v>30243768.170000002</v>
      </c>
      <c r="F13" s="13">
        <v>29748591</v>
      </c>
      <c r="G13" s="14">
        <v>4.41</v>
      </c>
      <c r="H13" s="14">
        <v>1.02</v>
      </c>
      <c r="I13" s="13">
        <v>2520314.0141666667</v>
      </c>
      <c r="J13" s="15">
        <v>7</v>
      </c>
      <c r="K13" s="13">
        <v>113505991.05083343</v>
      </c>
      <c r="L13" s="13">
        <v>10235858.164285729</v>
      </c>
      <c r="M13" s="13">
        <v>8110958.8071428705</v>
      </c>
      <c r="N13" s="197">
        <v>43647</v>
      </c>
      <c r="O13" s="16">
        <v>45839</v>
      </c>
      <c r="P13" s="13">
        <v>2014510.23</v>
      </c>
      <c r="Q13" s="242" t="e">
        <v>#VALUE!</v>
      </c>
    </row>
    <row r="14" spans="1:17" x14ac:dyDescent="0.2">
      <c r="A14" s="4" t="s">
        <v>60</v>
      </c>
      <c r="B14" s="13">
        <v>813673223</v>
      </c>
      <c r="C14" s="13">
        <v>728335774.08000004</v>
      </c>
      <c r="D14" s="13">
        <v>85337448.919999957</v>
      </c>
      <c r="E14" s="13">
        <v>14199146.140000001</v>
      </c>
      <c r="F14" s="13">
        <v>19453948</v>
      </c>
      <c r="G14" s="14">
        <v>4.3899999999999997</v>
      </c>
      <c r="H14" s="14">
        <v>0.73</v>
      </c>
      <c r="I14" s="13">
        <v>1183262.1783333335</v>
      </c>
      <c r="J14" s="15">
        <v>7</v>
      </c>
      <c r="K14" s="13">
        <v>77054613.671666622</v>
      </c>
      <c r="L14" s="13">
        <v>6632793.2742857086</v>
      </c>
      <c r="M14" s="13">
        <v>5243225.559999994</v>
      </c>
      <c r="N14" s="197">
        <v>43647</v>
      </c>
      <c r="O14" s="16">
        <v>45839</v>
      </c>
      <c r="P14" s="13">
        <v>1737979.27</v>
      </c>
      <c r="Q14" s="242" t="e">
        <v>#VALUE!</v>
      </c>
    </row>
    <row r="15" spans="1:17" x14ac:dyDescent="0.2">
      <c r="A15" s="4" t="s">
        <v>16</v>
      </c>
      <c r="B15" s="13">
        <v>107063879</v>
      </c>
      <c r="C15" s="13">
        <v>95629751.219999999</v>
      </c>
      <c r="D15" s="13">
        <v>11434127.780000001</v>
      </c>
      <c r="E15" s="13">
        <v>1405624.62</v>
      </c>
      <c r="F15" s="13">
        <v>2669761</v>
      </c>
      <c r="G15" s="14">
        <v>4.28</v>
      </c>
      <c r="H15" s="14">
        <v>0.53</v>
      </c>
      <c r="I15" s="13">
        <v>117135.38500000001</v>
      </c>
      <c r="J15" s="15">
        <v>7</v>
      </c>
      <c r="K15" s="13">
        <v>10614180.085000001</v>
      </c>
      <c r="L15" s="13">
        <v>870657.96857142879</v>
      </c>
      <c r="M15" s="13">
        <v>679960.75428571447</v>
      </c>
      <c r="N15" s="197">
        <v>43647</v>
      </c>
      <c r="O15" s="16">
        <v>45839</v>
      </c>
      <c r="P15" s="13">
        <v>0</v>
      </c>
      <c r="Q15" s="242" t="e">
        <v>#VALUE!</v>
      </c>
    </row>
    <row r="16" spans="1:17" x14ac:dyDescent="0.2">
      <c r="A16" s="4" t="s">
        <v>26</v>
      </c>
      <c r="B16" s="13">
        <v>1336269126.0599999</v>
      </c>
      <c r="C16" s="13">
        <v>1218041941.28</v>
      </c>
      <c r="D16" s="13">
        <v>118227184.77999997</v>
      </c>
      <c r="E16" s="13">
        <v>40469978.909999996</v>
      </c>
      <c r="F16" s="13">
        <v>29074134</v>
      </c>
      <c r="G16" s="14">
        <v>4.07</v>
      </c>
      <c r="H16" s="14">
        <v>1.39</v>
      </c>
      <c r="I16" s="13">
        <v>3372498.2424999997</v>
      </c>
      <c r="J16" s="15">
        <v>1</v>
      </c>
      <c r="K16" s="13">
        <v>114854686.53749996</v>
      </c>
      <c r="L16" s="13">
        <v>60078916.779999971</v>
      </c>
      <c r="M16" s="13">
        <v>45541849.779999971</v>
      </c>
      <c r="N16" s="197">
        <v>43831</v>
      </c>
      <c r="O16" s="16">
        <v>45658</v>
      </c>
      <c r="P16" s="13">
        <v>3301801.01</v>
      </c>
      <c r="Q16" s="242" t="e">
        <v>#VALUE!</v>
      </c>
    </row>
    <row r="17" spans="1:17" x14ac:dyDescent="0.2">
      <c r="A17" s="4" t="s">
        <v>54</v>
      </c>
      <c r="B17" s="13">
        <v>1042589157.45</v>
      </c>
      <c r="C17" s="13">
        <v>961497438.20000005</v>
      </c>
      <c r="D17" s="13">
        <v>81091719.25</v>
      </c>
      <c r="E17" s="13">
        <v>24277339.34</v>
      </c>
      <c r="F17" s="13">
        <v>20158365</v>
      </c>
      <c r="G17" s="14">
        <v>4.0199999999999996</v>
      </c>
      <c r="H17" s="14">
        <v>1.2</v>
      </c>
      <c r="I17" s="13">
        <v>2023111.6116666666</v>
      </c>
      <c r="J17" s="15">
        <v>4</v>
      </c>
      <c r="K17" s="13">
        <v>72999272.803333327</v>
      </c>
      <c r="L17" s="13">
        <v>10193747.3125</v>
      </c>
      <c r="M17" s="13">
        <v>7673951.6875</v>
      </c>
      <c r="N17" s="197">
        <v>43922</v>
      </c>
      <c r="O17" s="16">
        <v>45748</v>
      </c>
      <c r="P17" s="13">
        <v>1664005</v>
      </c>
      <c r="Q17" s="242" t="e">
        <v>#VALUE!</v>
      </c>
    </row>
    <row r="18" spans="1:17" x14ac:dyDescent="0.2">
      <c r="A18" s="4" t="s">
        <v>38</v>
      </c>
      <c r="B18" s="13">
        <v>1033187132</v>
      </c>
      <c r="C18" s="13">
        <v>942388235.39999998</v>
      </c>
      <c r="D18" s="13">
        <v>90798896.600000024</v>
      </c>
      <c r="E18" s="13">
        <v>23636557.890000001</v>
      </c>
      <c r="F18" s="13">
        <v>22862412</v>
      </c>
      <c r="G18" s="14">
        <v>3.97</v>
      </c>
      <c r="H18" s="14">
        <v>1.03</v>
      </c>
      <c r="I18" s="13">
        <v>1969713.1575</v>
      </c>
      <c r="J18" s="15">
        <v>4</v>
      </c>
      <c r="K18" s="13">
        <v>82920043.970000029</v>
      </c>
      <c r="L18" s="13">
        <v>11268518.150000006</v>
      </c>
      <c r="M18" s="13">
        <v>8410716.650000006</v>
      </c>
      <c r="N18" s="197">
        <v>43922</v>
      </c>
      <c r="O18" s="16">
        <v>45748</v>
      </c>
      <c r="P18" s="13">
        <v>1346338.34</v>
      </c>
      <c r="Q18" s="242" t="e">
        <v>#VALUE!</v>
      </c>
    </row>
    <row r="19" spans="1:17" x14ac:dyDescent="0.2">
      <c r="A19" s="4" t="s">
        <v>44</v>
      </c>
      <c r="B19" s="13">
        <v>493558716</v>
      </c>
      <c r="C19" s="13">
        <v>452314766.25</v>
      </c>
      <c r="D19" s="13">
        <v>41243949.75</v>
      </c>
      <c r="E19" s="13">
        <v>9139061.6999999993</v>
      </c>
      <c r="F19" s="13">
        <v>11038481</v>
      </c>
      <c r="G19" s="14">
        <v>3.74</v>
      </c>
      <c r="H19" s="14">
        <v>0.83</v>
      </c>
      <c r="I19" s="13">
        <v>761588.47499999998</v>
      </c>
      <c r="J19" s="15">
        <v>1</v>
      </c>
      <c r="K19" s="13">
        <v>40482361.274999999</v>
      </c>
      <c r="L19" s="13">
        <v>19166987.75</v>
      </c>
      <c r="M19" s="13">
        <v>13647747.25</v>
      </c>
      <c r="N19" s="197">
        <v>43831</v>
      </c>
      <c r="O19" s="16">
        <v>45658</v>
      </c>
      <c r="P19" s="13">
        <v>1722557.92</v>
      </c>
      <c r="Q19" s="242" t="e">
        <v>#VALUE!</v>
      </c>
    </row>
    <row r="20" spans="1:17" x14ac:dyDescent="0.2">
      <c r="A20" s="4" t="s">
        <v>51</v>
      </c>
      <c r="B20" s="13">
        <v>2041893568.29</v>
      </c>
      <c r="C20" s="13">
        <v>1890516902.3699999</v>
      </c>
      <c r="D20" s="13">
        <v>151376665.92000008</v>
      </c>
      <c r="E20" s="13">
        <v>37416692.109999999</v>
      </c>
      <c r="F20" s="13">
        <v>40828727</v>
      </c>
      <c r="G20" s="14">
        <v>3.71</v>
      </c>
      <c r="H20" s="14">
        <v>0.92</v>
      </c>
      <c r="I20" s="13">
        <v>3118057.6758333333</v>
      </c>
      <c r="J20" s="15">
        <v>1</v>
      </c>
      <c r="K20" s="13">
        <v>148258608.24416673</v>
      </c>
      <c r="L20" s="13">
        <v>69719211.920000076</v>
      </c>
      <c r="M20" s="13">
        <v>49304848.420000076</v>
      </c>
      <c r="N20" s="197">
        <v>43831</v>
      </c>
      <c r="O20" s="16">
        <v>45658</v>
      </c>
      <c r="P20" s="13">
        <v>3346462.9</v>
      </c>
      <c r="Q20" s="242" t="e">
        <v>#VALUE!</v>
      </c>
    </row>
    <row r="21" spans="1:17" x14ac:dyDescent="0.2">
      <c r="A21" s="4" t="s">
        <v>45</v>
      </c>
      <c r="B21" s="13">
        <v>1276422533.53</v>
      </c>
      <c r="C21" s="13">
        <v>1102932177.95</v>
      </c>
      <c r="D21" s="13">
        <v>173490355.57999992</v>
      </c>
      <c r="E21" s="13">
        <v>41661654.729999997</v>
      </c>
      <c r="F21" s="13">
        <v>47644860</v>
      </c>
      <c r="G21" s="14">
        <v>3.64</v>
      </c>
      <c r="H21" s="14">
        <v>0.87</v>
      </c>
      <c r="I21" s="13">
        <v>3471804.5608333331</v>
      </c>
      <c r="J21" s="15">
        <v>1</v>
      </c>
      <c r="K21" s="13">
        <v>170018551.01916659</v>
      </c>
      <c r="L21" s="13">
        <v>78200635.579999924</v>
      </c>
      <c r="M21" s="13">
        <v>54378205.579999924</v>
      </c>
      <c r="N21" s="197">
        <v>43831</v>
      </c>
      <c r="O21" s="16">
        <v>45658</v>
      </c>
      <c r="P21" s="13">
        <v>3657546.02</v>
      </c>
      <c r="Q21" s="242" t="e">
        <v>#VALUE!</v>
      </c>
    </row>
    <row r="22" spans="1:17" x14ac:dyDescent="0.2">
      <c r="A22" s="4" t="s">
        <v>28</v>
      </c>
      <c r="B22" s="13">
        <v>1083940953</v>
      </c>
      <c r="C22" s="13">
        <v>996757343.19000006</v>
      </c>
      <c r="D22" s="13">
        <v>87183609.809999943</v>
      </c>
      <c r="E22" s="13">
        <v>19281205.649999999</v>
      </c>
      <c r="F22" s="13">
        <v>24208645</v>
      </c>
      <c r="G22" s="14">
        <v>3.6</v>
      </c>
      <c r="H22" s="14">
        <v>0.8</v>
      </c>
      <c r="I22" s="13">
        <v>1606767.1375</v>
      </c>
      <c r="J22" s="15">
        <v>1</v>
      </c>
      <c r="K22" s="13">
        <v>85576842.67249994</v>
      </c>
      <c r="L22" s="13">
        <v>38766319.809999943</v>
      </c>
      <c r="M22" s="13">
        <v>26661997.309999943</v>
      </c>
      <c r="N22" s="197">
        <v>43831</v>
      </c>
      <c r="O22" s="16">
        <v>45658</v>
      </c>
      <c r="P22" s="13">
        <v>1559797.5</v>
      </c>
      <c r="Q22" s="242" t="e">
        <v>#VALUE!</v>
      </c>
    </row>
    <row r="23" spans="1:17" x14ac:dyDescent="0.2">
      <c r="A23" s="4" t="s">
        <v>29</v>
      </c>
      <c r="B23" s="13">
        <v>689945660</v>
      </c>
      <c r="C23" s="13">
        <v>638339035.58000004</v>
      </c>
      <c r="D23" s="13">
        <v>51606624.419999957</v>
      </c>
      <c r="E23" s="13">
        <v>9945502.7799999993</v>
      </c>
      <c r="F23" s="13">
        <v>14901309</v>
      </c>
      <c r="G23" s="14">
        <v>3.46</v>
      </c>
      <c r="H23" s="14">
        <v>0.67</v>
      </c>
      <c r="I23" s="13">
        <v>828791.89833333332</v>
      </c>
      <c r="J23" s="15">
        <v>1</v>
      </c>
      <c r="K23" s="13">
        <v>50777832.521666624</v>
      </c>
      <c r="L23" s="13">
        <v>21804006.419999957</v>
      </c>
      <c r="M23" s="13">
        <v>14353351.919999957</v>
      </c>
      <c r="N23" s="197">
        <v>43466</v>
      </c>
      <c r="O23" s="16">
        <v>45658</v>
      </c>
      <c r="P23" s="13">
        <v>946508.26</v>
      </c>
      <c r="Q23" s="242" t="e">
        <v>#VALUE!</v>
      </c>
    </row>
    <row r="24" spans="1:17" x14ac:dyDescent="0.2">
      <c r="A24" s="4" t="s">
        <v>39</v>
      </c>
      <c r="B24" s="13">
        <v>265120500</v>
      </c>
      <c r="C24" s="13">
        <v>243757492.25</v>
      </c>
      <c r="D24" s="13">
        <v>21363007.75</v>
      </c>
      <c r="E24" s="13">
        <v>9487268.8900000006</v>
      </c>
      <c r="F24" s="13">
        <v>6172506</v>
      </c>
      <c r="G24" s="14">
        <v>3.46</v>
      </c>
      <c r="H24" s="14">
        <v>1.54</v>
      </c>
      <c r="I24" s="13">
        <v>790605.74083333334</v>
      </c>
      <c r="J24" s="15">
        <v>4</v>
      </c>
      <c r="K24" s="13">
        <v>18200584.786666665</v>
      </c>
      <c r="L24" s="13">
        <v>2254498.9375</v>
      </c>
      <c r="M24" s="13">
        <v>1482935.6875</v>
      </c>
      <c r="N24" s="197">
        <v>43922</v>
      </c>
      <c r="O24" s="16">
        <v>45748</v>
      </c>
      <c r="P24" s="13">
        <v>444246.27</v>
      </c>
      <c r="Q24" s="242" t="e">
        <v>#VALUE!</v>
      </c>
    </row>
    <row r="25" spans="1:17" x14ac:dyDescent="0.2">
      <c r="A25" s="4" t="s">
        <v>24</v>
      </c>
      <c r="B25" s="13">
        <v>1683242657.0699999</v>
      </c>
      <c r="C25" s="13">
        <v>1543590971.8299999</v>
      </c>
      <c r="D25" s="13">
        <v>139651685.24000001</v>
      </c>
      <c r="E25" s="13">
        <v>38871191.640000001</v>
      </c>
      <c r="F25" s="13">
        <v>40945091</v>
      </c>
      <c r="G25" s="14">
        <v>3.41</v>
      </c>
      <c r="H25" s="14">
        <v>0.95</v>
      </c>
      <c r="I25" s="13">
        <v>3239265.97</v>
      </c>
      <c r="J25" s="15">
        <v>7</v>
      </c>
      <c r="K25" s="13">
        <v>116976823.45</v>
      </c>
      <c r="L25" s="13">
        <v>8251643.3200000012</v>
      </c>
      <c r="M25" s="13">
        <v>5326993.962857144</v>
      </c>
      <c r="N25" s="197">
        <v>43647</v>
      </c>
      <c r="O25" s="16">
        <v>45839</v>
      </c>
      <c r="P25" s="13">
        <v>3760886.25</v>
      </c>
      <c r="Q25" s="242" t="e">
        <v>#VALUE!</v>
      </c>
    </row>
    <row r="26" spans="1:17" x14ac:dyDescent="0.2">
      <c r="A26" s="4" t="s">
        <v>56</v>
      </c>
      <c r="B26" s="13">
        <v>1182377479</v>
      </c>
      <c r="C26" s="13">
        <v>1091798071.5799999</v>
      </c>
      <c r="D26" s="13">
        <v>90579407.420000076</v>
      </c>
      <c r="E26" s="13">
        <v>25701591.539999999</v>
      </c>
      <c r="F26" s="13">
        <v>27472066</v>
      </c>
      <c r="G26" s="14">
        <v>3.3</v>
      </c>
      <c r="H26" s="14">
        <v>0.94</v>
      </c>
      <c r="I26" s="13">
        <v>2141799.2949999999</v>
      </c>
      <c r="J26" s="15">
        <v>7</v>
      </c>
      <c r="K26" s="13">
        <v>75586812.355000079</v>
      </c>
      <c r="L26" s="13">
        <v>5090753.6314285826</v>
      </c>
      <c r="M26" s="13">
        <v>3128463.202857154</v>
      </c>
      <c r="N26" s="197">
        <v>43647</v>
      </c>
      <c r="O26" s="16">
        <v>45839</v>
      </c>
      <c r="P26" s="13">
        <v>2945753.89</v>
      </c>
      <c r="Q26" s="242" t="e">
        <v>#VALUE!</v>
      </c>
    </row>
    <row r="27" spans="1:17" x14ac:dyDescent="0.2">
      <c r="A27" s="4" t="s">
        <v>42</v>
      </c>
      <c r="B27" s="13">
        <v>355494147</v>
      </c>
      <c r="C27" s="13">
        <v>325118232.94999999</v>
      </c>
      <c r="D27" s="13">
        <v>30375914.050000012</v>
      </c>
      <c r="E27" s="13">
        <v>5470788.6299999999</v>
      </c>
      <c r="F27" s="13">
        <v>9435207</v>
      </c>
      <c r="G27" s="14">
        <v>3.22</v>
      </c>
      <c r="H27" s="14">
        <v>0.57999999999999996</v>
      </c>
      <c r="I27" s="13">
        <v>455899.05249999999</v>
      </c>
      <c r="J27" s="15">
        <v>1</v>
      </c>
      <c r="K27" s="13">
        <v>29920014.997500014</v>
      </c>
      <c r="L27" s="13">
        <v>11505500.050000012</v>
      </c>
      <c r="M27" s="13">
        <v>6787896.5500000119</v>
      </c>
      <c r="N27" s="197">
        <v>43831</v>
      </c>
      <c r="O27" s="16">
        <v>45658</v>
      </c>
      <c r="P27" s="13">
        <v>621195.17000000004</v>
      </c>
      <c r="Q27" s="242" t="e">
        <v>#VALUE!</v>
      </c>
    </row>
    <row r="28" spans="1:17" x14ac:dyDescent="0.2">
      <c r="A28" s="4" t="s">
        <v>53</v>
      </c>
      <c r="B28" s="13">
        <v>203184641.25</v>
      </c>
      <c r="C28" s="13">
        <v>185316473.66999999</v>
      </c>
      <c r="D28" s="13">
        <v>17868167.580000013</v>
      </c>
      <c r="E28" s="13">
        <v>9492893.9499999993</v>
      </c>
      <c r="F28" s="13">
        <v>5655134</v>
      </c>
      <c r="G28" s="14">
        <v>3.16</v>
      </c>
      <c r="H28" s="14">
        <v>1.68</v>
      </c>
      <c r="I28" s="13">
        <v>791074.49583333323</v>
      </c>
      <c r="J28" s="15">
        <v>7</v>
      </c>
      <c r="K28" s="13">
        <v>12330646.109166682</v>
      </c>
      <c r="L28" s="13">
        <v>936842.79714285897</v>
      </c>
      <c r="M28" s="13" t="s">
        <v>192</v>
      </c>
      <c r="N28" s="197">
        <v>43647</v>
      </c>
      <c r="O28" s="16">
        <v>45839</v>
      </c>
      <c r="P28" s="13">
        <v>1934853.41</v>
      </c>
      <c r="Q28" s="242" t="e">
        <v>#VALUE!</v>
      </c>
    </row>
    <row r="29" spans="1:17" x14ac:dyDescent="0.2">
      <c r="A29" s="4" t="s">
        <v>61</v>
      </c>
      <c r="B29" s="13">
        <v>535148479</v>
      </c>
      <c r="C29" s="13">
        <v>494002131.52999997</v>
      </c>
      <c r="D29" s="13">
        <v>41146347.470000029</v>
      </c>
      <c r="E29" s="13">
        <v>11941494.279999999</v>
      </c>
      <c r="F29" s="13">
        <v>13099382</v>
      </c>
      <c r="G29" s="14">
        <v>3.14</v>
      </c>
      <c r="H29" s="14">
        <v>0.91</v>
      </c>
      <c r="I29" s="13">
        <v>995124.52333333332</v>
      </c>
      <c r="J29" s="15">
        <v>7</v>
      </c>
      <c r="K29" s="13">
        <v>34180475.806666695</v>
      </c>
      <c r="L29" s="13">
        <v>2135369.0671428614</v>
      </c>
      <c r="M29" s="13">
        <v>1199698.9242857185</v>
      </c>
      <c r="N29" s="197">
        <v>43647</v>
      </c>
      <c r="O29" s="16">
        <v>45839</v>
      </c>
      <c r="P29" s="13">
        <v>671790.11</v>
      </c>
      <c r="Q29" s="242" t="e">
        <v>#VALUE!</v>
      </c>
    </row>
    <row r="30" spans="1:17" x14ac:dyDescent="0.2">
      <c r="A30" s="4" t="s">
        <v>43</v>
      </c>
      <c r="B30" s="13">
        <v>300531063.24000001</v>
      </c>
      <c r="C30" s="13">
        <v>280105197.83999997</v>
      </c>
      <c r="D30" s="13">
        <v>20425865.400000036</v>
      </c>
      <c r="E30" s="13">
        <v>7154799.3300000001</v>
      </c>
      <c r="F30" s="13">
        <v>6730317</v>
      </c>
      <c r="G30" s="14">
        <v>3.03</v>
      </c>
      <c r="H30" s="14">
        <v>1.06</v>
      </c>
      <c r="I30" s="13">
        <v>596233.27749999997</v>
      </c>
      <c r="J30" s="15">
        <v>7</v>
      </c>
      <c r="K30" s="13">
        <v>16252232.457500037</v>
      </c>
      <c r="L30" s="13">
        <v>995033.05714286224</v>
      </c>
      <c r="M30" s="13" t="s">
        <v>192</v>
      </c>
      <c r="N30" s="197">
        <v>43647</v>
      </c>
      <c r="O30" s="16">
        <v>45839</v>
      </c>
      <c r="P30" s="13">
        <v>809391.24</v>
      </c>
      <c r="Q30" s="242" t="e">
        <v>#VALUE!</v>
      </c>
    </row>
    <row r="31" spans="1:17" x14ac:dyDescent="0.2">
      <c r="A31" s="4" t="s">
        <v>18</v>
      </c>
      <c r="B31" s="13">
        <v>799406417.05999994</v>
      </c>
      <c r="C31" s="13">
        <v>747243731.89999998</v>
      </c>
      <c r="D31" s="13">
        <v>52162685.159999967</v>
      </c>
      <c r="E31" s="13">
        <v>24452877.489999998</v>
      </c>
      <c r="F31" s="13">
        <v>17480755</v>
      </c>
      <c r="G31" s="14">
        <v>2.98</v>
      </c>
      <c r="H31" s="14">
        <v>1.4</v>
      </c>
      <c r="I31" s="13">
        <v>2037739.7908333333</v>
      </c>
      <c r="J31" s="15">
        <v>7</v>
      </c>
      <c r="K31" s="13">
        <v>37898506.624166638</v>
      </c>
      <c r="L31" s="13">
        <v>2457310.7371428525</v>
      </c>
      <c r="M31" s="13" t="s">
        <v>192</v>
      </c>
      <c r="N31" s="197">
        <v>43647</v>
      </c>
      <c r="O31" s="16">
        <v>45839</v>
      </c>
      <c r="P31" s="13">
        <v>3077629.81</v>
      </c>
      <c r="Q31" s="242" t="e">
        <v>#VALUE!</v>
      </c>
    </row>
    <row r="32" spans="1:17" x14ac:dyDescent="0.2">
      <c r="A32" s="4" t="s">
        <v>27</v>
      </c>
      <c r="B32" s="13">
        <v>1340428223.5599999</v>
      </c>
      <c r="C32" s="13">
        <v>1249273921.29</v>
      </c>
      <c r="D32" s="13">
        <v>91154302.269999981</v>
      </c>
      <c r="E32" s="13">
        <v>23431464.48</v>
      </c>
      <c r="F32" s="13">
        <v>30689455</v>
      </c>
      <c r="G32" s="14">
        <v>2.97</v>
      </c>
      <c r="H32" s="14">
        <v>0.76</v>
      </c>
      <c r="I32" s="13">
        <v>1952622.04</v>
      </c>
      <c r="J32" s="15">
        <v>7</v>
      </c>
      <c r="K32" s="13">
        <v>77485947.98999998</v>
      </c>
      <c r="L32" s="13">
        <v>4253627.4671428548</v>
      </c>
      <c r="M32" s="13">
        <v>2061523.5385714259</v>
      </c>
      <c r="N32" s="197">
        <v>43647</v>
      </c>
      <c r="O32" s="16">
        <v>45839</v>
      </c>
      <c r="P32" s="13">
        <v>546254.68000000005</v>
      </c>
      <c r="Q32" s="242" t="e">
        <v>#VALUE!</v>
      </c>
    </row>
    <row r="33" spans="1:17" x14ac:dyDescent="0.2">
      <c r="A33" s="4" t="s">
        <v>57</v>
      </c>
      <c r="B33" s="13">
        <v>2950491414.54</v>
      </c>
      <c r="C33" s="13">
        <v>2739034557.7800002</v>
      </c>
      <c r="D33" s="13">
        <v>211456856.75999975</v>
      </c>
      <c r="E33" s="13">
        <v>77804110.700000003</v>
      </c>
      <c r="F33" s="13">
        <v>71178309</v>
      </c>
      <c r="G33" s="14">
        <v>2.97</v>
      </c>
      <c r="H33" s="14">
        <v>1.0900000000000001</v>
      </c>
      <c r="I33" s="13">
        <v>6483675.8916666666</v>
      </c>
      <c r="J33" s="15">
        <v>9</v>
      </c>
      <c r="K33" s="13">
        <v>153103773.73499975</v>
      </c>
      <c r="L33" s="13">
        <v>7677804.3066666387</v>
      </c>
      <c r="M33" s="13" t="s">
        <v>192</v>
      </c>
      <c r="N33" s="197">
        <v>44075</v>
      </c>
      <c r="O33" s="16">
        <v>45901</v>
      </c>
      <c r="P33" s="13">
        <v>5353157.21</v>
      </c>
      <c r="Q33" s="242" t="e">
        <v>#VALUE!</v>
      </c>
    </row>
    <row r="34" spans="1:17" x14ac:dyDescent="0.2">
      <c r="A34" s="4" t="s">
        <v>25</v>
      </c>
      <c r="B34" s="13">
        <v>351543186.45999998</v>
      </c>
      <c r="C34" s="13">
        <v>326154244.45999998</v>
      </c>
      <c r="D34" s="13">
        <v>25388942</v>
      </c>
      <c r="E34" s="13">
        <v>7108781.7800000003</v>
      </c>
      <c r="F34" s="13">
        <v>8658249</v>
      </c>
      <c r="G34" s="14">
        <v>2.93</v>
      </c>
      <c r="H34" s="14">
        <v>0.82</v>
      </c>
      <c r="I34" s="13">
        <v>592398.48166666669</v>
      </c>
      <c r="J34" s="15">
        <v>4</v>
      </c>
      <c r="K34" s="13">
        <v>23019348.073333334</v>
      </c>
      <c r="L34" s="13">
        <v>2018111</v>
      </c>
      <c r="M34" s="13">
        <v>935829.875</v>
      </c>
      <c r="N34" s="197">
        <v>43556</v>
      </c>
      <c r="O34" s="16">
        <v>45748</v>
      </c>
      <c r="P34" s="13">
        <v>125923.01</v>
      </c>
      <c r="Q34" s="242" t="e">
        <v>#VALUE!</v>
      </c>
    </row>
    <row r="35" spans="1:17" x14ac:dyDescent="0.2">
      <c r="A35" s="4" t="s">
        <v>41</v>
      </c>
      <c r="B35" s="13">
        <v>101611843</v>
      </c>
      <c r="C35" s="13">
        <v>93172844.109999999</v>
      </c>
      <c r="D35" s="13">
        <v>8438998.8900000006</v>
      </c>
      <c r="E35" s="13">
        <v>3356175.21</v>
      </c>
      <c r="F35" s="13">
        <v>2910779</v>
      </c>
      <c r="G35" s="14">
        <v>2.9</v>
      </c>
      <c r="H35" s="14">
        <v>1.1499999999999999</v>
      </c>
      <c r="I35" s="13">
        <v>279681.26750000002</v>
      </c>
      <c r="J35" s="15">
        <v>7</v>
      </c>
      <c r="K35" s="13">
        <v>6481230.0175000001</v>
      </c>
      <c r="L35" s="13">
        <v>373920.12714285724</v>
      </c>
      <c r="M35" s="13" t="s">
        <v>192</v>
      </c>
      <c r="N35" s="197">
        <v>43647</v>
      </c>
      <c r="O35" s="16">
        <v>45839</v>
      </c>
      <c r="P35" s="13">
        <v>0</v>
      </c>
      <c r="Q35" s="242" t="e">
        <v>#VALUE!</v>
      </c>
    </row>
    <row r="36" spans="1:17" x14ac:dyDescent="0.2">
      <c r="A36" s="4" t="s">
        <v>20</v>
      </c>
      <c r="B36" s="13">
        <v>392596167.93000001</v>
      </c>
      <c r="C36" s="13">
        <v>366566481.75999999</v>
      </c>
      <c r="D36" s="13">
        <v>26029686.170000017</v>
      </c>
      <c r="E36" s="13">
        <v>16086103.59</v>
      </c>
      <c r="F36" s="13">
        <v>9305817</v>
      </c>
      <c r="G36" s="14">
        <v>2.8</v>
      </c>
      <c r="H36" s="14">
        <v>1.73</v>
      </c>
      <c r="I36" s="13">
        <v>1340508.6325000001</v>
      </c>
      <c r="J36" s="15">
        <v>4</v>
      </c>
      <c r="K36" s="13">
        <v>20667651.640000015</v>
      </c>
      <c r="L36" s="13">
        <v>1854513.0425000042</v>
      </c>
      <c r="M36" s="13" t="s">
        <v>192</v>
      </c>
      <c r="N36" s="197">
        <v>43556</v>
      </c>
      <c r="O36" s="16">
        <v>45748</v>
      </c>
      <c r="P36" s="13">
        <v>-489196.21</v>
      </c>
      <c r="Q36" s="242" t="e">
        <v>#VALUE!</v>
      </c>
    </row>
    <row r="37" spans="1:17" x14ac:dyDescent="0.2">
      <c r="A37" s="4" t="s">
        <v>34</v>
      </c>
      <c r="B37" s="13">
        <v>1428807757.99</v>
      </c>
      <c r="C37" s="13">
        <v>1334207493.1600001</v>
      </c>
      <c r="D37" s="13">
        <v>94600264.829999924</v>
      </c>
      <c r="E37" s="13">
        <v>45636434.380000003</v>
      </c>
      <c r="F37" s="13">
        <v>34424780</v>
      </c>
      <c r="G37" s="14">
        <v>2.75</v>
      </c>
      <c r="H37" s="14">
        <v>1.33</v>
      </c>
      <c r="I37" s="13">
        <v>3803036.1983333337</v>
      </c>
      <c r="J37" s="15">
        <v>4</v>
      </c>
      <c r="K37" s="13">
        <v>79388120.036666587</v>
      </c>
      <c r="L37" s="13">
        <v>6437676.2074999809</v>
      </c>
      <c r="M37" s="13" t="s">
        <v>192</v>
      </c>
      <c r="N37" s="197">
        <v>43922</v>
      </c>
      <c r="O37" s="16">
        <v>45748</v>
      </c>
      <c r="P37" s="13">
        <v>2314551.88</v>
      </c>
      <c r="Q37" s="242" t="e">
        <v>#VALUE!</v>
      </c>
    </row>
    <row r="38" spans="1:17" x14ac:dyDescent="0.2">
      <c r="A38" s="4" t="s">
        <v>59</v>
      </c>
      <c r="B38" s="13">
        <v>285086766</v>
      </c>
      <c r="C38" s="13">
        <v>265213043</v>
      </c>
      <c r="D38" s="13">
        <v>19873723</v>
      </c>
      <c r="E38" s="13">
        <v>9165906.5199999996</v>
      </c>
      <c r="F38" s="13">
        <v>7485780</v>
      </c>
      <c r="G38" s="14">
        <v>2.65</v>
      </c>
      <c r="H38" s="14">
        <v>1.22</v>
      </c>
      <c r="I38" s="13">
        <v>763825.54333333333</v>
      </c>
      <c r="J38" s="15">
        <v>7</v>
      </c>
      <c r="K38" s="13">
        <v>14526944.196666665</v>
      </c>
      <c r="L38" s="13" t="s">
        <v>192</v>
      </c>
      <c r="M38" s="13" t="s">
        <v>192</v>
      </c>
      <c r="N38" s="197">
        <v>43647</v>
      </c>
      <c r="O38" s="16">
        <v>45839</v>
      </c>
      <c r="P38" s="13">
        <v>280300.96999999997</v>
      </c>
      <c r="Q38" s="242" t="e">
        <v>#VALUE!</v>
      </c>
    </row>
    <row r="39" spans="1:17" x14ac:dyDescent="0.2">
      <c r="A39" s="4" t="s">
        <v>37</v>
      </c>
      <c r="B39" s="13">
        <v>1239388142.8299999</v>
      </c>
      <c r="C39" s="13">
        <v>1177175435.5699999</v>
      </c>
      <c r="D39" s="13">
        <v>62212707.25999999</v>
      </c>
      <c r="E39" s="13">
        <v>19633290.75</v>
      </c>
      <c r="F39" s="13">
        <v>24088947</v>
      </c>
      <c r="G39" s="14">
        <v>2.58</v>
      </c>
      <c r="H39" s="14">
        <v>0.82</v>
      </c>
      <c r="I39" s="13">
        <v>1636107.5625</v>
      </c>
      <c r="J39" s="15">
        <v>7</v>
      </c>
      <c r="K39" s="13">
        <v>50759954.32249999</v>
      </c>
      <c r="L39" s="13">
        <v>2004973.3228571415</v>
      </c>
      <c r="M39" s="13" t="s">
        <v>192</v>
      </c>
      <c r="N39" s="197">
        <v>43647</v>
      </c>
      <c r="O39" s="16">
        <v>45839</v>
      </c>
      <c r="P39" s="13">
        <v>1814194.47</v>
      </c>
      <c r="Q39" s="242" t="e">
        <v>#VALUE!</v>
      </c>
    </row>
    <row r="40" spans="1:17" x14ac:dyDescent="0.2">
      <c r="A40" s="4" t="s">
        <v>49</v>
      </c>
      <c r="B40" s="13">
        <v>699328036.19000006</v>
      </c>
      <c r="C40" s="13">
        <v>663599255.80999994</v>
      </c>
      <c r="D40" s="13">
        <v>35728780.380000114</v>
      </c>
      <c r="E40" s="13">
        <v>16549722.49</v>
      </c>
      <c r="F40" s="13">
        <v>14024709</v>
      </c>
      <c r="G40" s="14">
        <v>2.5499999999999998</v>
      </c>
      <c r="H40" s="14">
        <v>1.18</v>
      </c>
      <c r="I40" s="13">
        <v>1379143.5408333333</v>
      </c>
      <c r="J40" s="15">
        <v>4</v>
      </c>
      <c r="K40" s="13">
        <v>30212206.21666678</v>
      </c>
      <c r="L40" s="13">
        <v>1919840.5950000286</v>
      </c>
      <c r="M40" s="13" t="s">
        <v>192</v>
      </c>
      <c r="N40" s="197">
        <v>43922</v>
      </c>
      <c r="O40" s="16">
        <v>45748</v>
      </c>
      <c r="P40" s="13">
        <v>1109838.19</v>
      </c>
      <c r="Q40" s="242" t="e">
        <v>#VALUE!</v>
      </c>
    </row>
    <row r="41" spans="1:17" x14ac:dyDescent="0.2">
      <c r="A41" s="4" t="s">
        <v>21</v>
      </c>
      <c r="B41" s="13">
        <v>528328839.02999997</v>
      </c>
      <c r="C41" s="13">
        <v>493153729.95999998</v>
      </c>
      <c r="D41" s="13">
        <v>35175109.069999993</v>
      </c>
      <c r="E41" s="13">
        <v>15100808.810000001</v>
      </c>
      <c r="F41" s="13">
        <v>13880022</v>
      </c>
      <c r="G41" s="14">
        <v>2.5299999999999998</v>
      </c>
      <c r="H41" s="14">
        <v>1.0900000000000001</v>
      </c>
      <c r="I41" s="13">
        <v>1258400.7341666666</v>
      </c>
      <c r="J41" s="15">
        <v>7</v>
      </c>
      <c r="K41" s="13">
        <v>26366303.930833325</v>
      </c>
      <c r="L41" s="13" t="s">
        <v>192</v>
      </c>
      <c r="M41" s="13" t="s">
        <v>192</v>
      </c>
      <c r="N41" s="197">
        <v>43647</v>
      </c>
      <c r="O41" s="16">
        <v>45839</v>
      </c>
      <c r="P41" s="13">
        <v>0</v>
      </c>
      <c r="Q41" s="242" t="e">
        <v>#VALUE!</v>
      </c>
    </row>
    <row r="42" spans="1:17" x14ac:dyDescent="0.2">
      <c r="A42" s="4" t="s">
        <v>48</v>
      </c>
      <c r="B42" s="13">
        <v>1985336227.8699999</v>
      </c>
      <c r="C42" s="13">
        <v>1870158947.6700001</v>
      </c>
      <c r="D42" s="13">
        <v>115177280.19999981</v>
      </c>
      <c r="E42" s="13">
        <v>41154029.609999999</v>
      </c>
      <c r="F42" s="13">
        <v>45588088</v>
      </c>
      <c r="G42" s="14">
        <v>2.5299999999999998</v>
      </c>
      <c r="H42" s="14">
        <v>0.9</v>
      </c>
      <c r="I42" s="13">
        <v>3429502.4674999998</v>
      </c>
      <c r="J42" s="15">
        <v>7</v>
      </c>
      <c r="K42" s="13">
        <v>91170762.927499816</v>
      </c>
      <c r="L42" s="13" t="s">
        <v>192</v>
      </c>
      <c r="M42" s="13" t="s">
        <v>192</v>
      </c>
      <c r="N42" s="197">
        <v>43647</v>
      </c>
      <c r="O42" s="16">
        <v>45839</v>
      </c>
      <c r="P42" s="13">
        <v>4316420.26</v>
      </c>
      <c r="Q42" s="242" t="e">
        <v>#VALUE!</v>
      </c>
    </row>
    <row r="43" spans="1:17" x14ac:dyDescent="0.2">
      <c r="A43" s="4" t="s">
        <v>55</v>
      </c>
      <c r="B43" s="13">
        <v>254239457</v>
      </c>
      <c r="C43" s="13">
        <v>240052249.22999999</v>
      </c>
      <c r="D43" s="13">
        <v>14187207.770000011</v>
      </c>
      <c r="E43" s="13">
        <v>6432888.0499999998</v>
      </c>
      <c r="F43" s="13">
        <v>5680880</v>
      </c>
      <c r="G43" s="14">
        <v>2.5</v>
      </c>
      <c r="H43" s="14">
        <v>1.1299999999999999</v>
      </c>
      <c r="I43" s="13">
        <v>536074.00416666665</v>
      </c>
      <c r="J43" s="15">
        <v>1</v>
      </c>
      <c r="K43" s="13">
        <v>13651133.765833344</v>
      </c>
      <c r="L43" s="13">
        <v>2825447.7700000107</v>
      </c>
      <c r="M43" s="13" t="s">
        <v>192</v>
      </c>
      <c r="N43" s="197">
        <v>43831</v>
      </c>
      <c r="O43" s="16">
        <v>45658</v>
      </c>
      <c r="P43" s="13">
        <v>2139911.7799999998</v>
      </c>
      <c r="Q43" s="242" t="e">
        <v>#VALUE!</v>
      </c>
    </row>
    <row r="44" spans="1:17" x14ac:dyDescent="0.2">
      <c r="A44" s="4" t="s">
        <v>63</v>
      </c>
      <c r="B44" s="13">
        <v>1110426785</v>
      </c>
      <c r="C44" s="13">
        <v>1041803543.27</v>
      </c>
      <c r="D44" s="13">
        <v>68623241.730000019</v>
      </c>
      <c r="E44" s="13">
        <v>25201747.579999998</v>
      </c>
      <c r="F44" s="13">
        <v>27485501</v>
      </c>
      <c r="G44" s="14">
        <v>2.5</v>
      </c>
      <c r="H44" s="14">
        <v>0.92</v>
      </c>
      <c r="I44" s="13">
        <v>2100145.6316666664</v>
      </c>
      <c r="J44" s="15">
        <v>4</v>
      </c>
      <c r="K44" s="13">
        <v>60222659.203333355</v>
      </c>
      <c r="L44" s="13">
        <v>3413059.9325000048</v>
      </c>
      <c r="M44" s="13" t="s">
        <v>192</v>
      </c>
      <c r="N44" s="197">
        <v>43922</v>
      </c>
      <c r="O44" s="16">
        <v>45748</v>
      </c>
      <c r="P44" s="13">
        <v>6822990.21</v>
      </c>
      <c r="Q44" s="242" t="e">
        <v>#VALUE!</v>
      </c>
    </row>
    <row r="45" spans="1:17" x14ac:dyDescent="0.2">
      <c r="A45" s="4" t="s">
        <v>33</v>
      </c>
      <c r="B45" s="13">
        <v>314446387.48000002</v>
      </c>
      <c r="C45" s="13">
        <v>294092896.25999999</v>
      </c>
      <c r="D45" s="13">
        <v>20353491.220000029</v>
      </c>
      <c r="E45" s="13">
        <v>8910377.3300000001</v>
      </c>
      <c r="F45" s="13">
        <v>8369791</v>
      </c>
      <c r="G45" s="14">
        <v>2.4300000000000002</v>
      </c>
      <c r="H45" s="14">
        <v>1.06</v>
      </c>
      <c r="I45" s="13">
        <v>742531.44416666671</v>
      </c>
      <c r="J45" s="15">
        <v>7</v>
      </c>
      <c r="K45" s="13">
        <v>15155771.110833362</v>
      </c>
      <c r="L45" s="13" t="s">
        <v>192</v>
      </c>
      <c r="M45" s="13" t="s">
        <v>192</v>
      </c>
      <c r="N45" s="197">
        <v>43647</v>
      </c>
      <c r="O45" s="16">
        <v>45839</v>
      </c>
      <c r="P45" s="13">
        <v>445553.34</v>
      </c>
      <c r="Q45" s="242" t="e">
        <v>#VALUE!</v>
      </c>
    </row>
    <row r="46" spans="1:17" x14ac:dyDescent="0.2">
      <c r="A46" s="4" t="s">
        <v>17</v>
      </c>
      <c r="B46" s="13">
        <v>398824318</v>
      </c>
      <c r="C46" s="13">
        <v>376165024.23000002</v>
      </c>
      <c r="D46" s="13">
        <v>22659293.769999981</v>
      </c>
      <c r="E46" s="13">
        <v>11646344.5</v>
      </c>
      <c r="F46" s="13">
        <v>9664284</v>
      </c>
      <c r="G46" s="14">
        <v>2.34</v>
      </c>
      <c r="H46" s="14">
        <v>1.21</v>
      </c>
      <c r="I46" s="13">
        <v>970528.70833333337</v>
      </c>
      <c r="J46" s="15">
        <v>7</v>
      </c>
      <c r="K46" s="13">
        <v>15865592.811666647</v>
      </c>
      <c r="L46" s="13" t="s">
        <v>192</v>
      </c>
      <c r="M46" s="13" t="s">
        <v>192</v>
      </c>
      <c r="N46" s="197">
        <v>43647</v>
      </c>
      <c r="O46" s="16">
        <v>45839</v>
      </c>
      <c r="P46" s="13">
        <v>848285.7</v>
      </c>
      <c r="Q46" s="242" t="e">
        <v>#VALUE!</v>
      </c>
    </row>
    <row r="47" spans="1:17" x14ac:dyDescent="0.2">
      <c r="A47" s="4" t="s">
        <v>32</v>
      </c>
      <c r="B47" s="13">
        <v>509113932</v>
      </c>
      <c r="C47" s="13">
        <v>481681020.58999997</v>
      </c>
      <c r="D47" s="13">
        <v>27432911.410000026</v>
      </c>
      <c r="E47" s="13">
        <v>12213034.02</v>
      </c>
      <c r="F47" s="13">
        <v>11867952</v>
      </c>
      <c r="G47" s="14">
        <v>2.31</v>
      </c>
      <c r="H47" s="14">
        <v>1.03</v>
      </c>
      <c r="I47" s="13">
        <v>1017752.835</v>
      </c>
      <c r="J47" s="15">
        <v>1</v>
      </c>
      <c r="K47" s="13">
        <v>26415158.575000025</v>
      </c>
      <c r="L47" s="13">
        <v>3697007.4100000262</v>
      </c>
      <c r="M47" s="13" t="s">
        <v>192</v>
      </c>
      <c r="N47" s="197">
        <v>43831</v>
      </c>
      <c r="O47" s="16">
        <v>45658</v>
      </c>
      <c r="P47" s="13">
        <v>2022519.45</v>
      </c>
      <c r="Q47" s="242" t="e">
        <v>#VALUE!</v>
      </c>
    </row>
    <row r="48" spans="1:17" x14ac:dyDescent="0.2">
      <c r="A48" s="4" t="s">
        <v>15</v>
      </c>
      <c r="B48" s="13">
        <v>1085275104.5</v>
      </c>
      <c r="C48" s="13">
        <v>1039247574.09</v>
      </c>
      <c r="D48" s="13">
        <v>46027530.409999967</v>
      </c>
      <c r="E48" s="13">
        <v>22180535.52</v>
      </c>
      <c r="F48" s="13">
        <v>22858857</v>
      </c>
      <c r="G48" s="14">
        <v>2.0099999999999998</v>
      </c>
      <c r="H48" s="14">
        <v>0.97</v>
      </c>
      <c r="I48" s="13">
        <v>1848377.96</v>
      </c>
      <c r="J48" s="15">
        <v>4</v>
      </c>
      <c r="K48" s="13">
        <v>38634018.569999963</v>
      </c>
      <c r="L48" s="13" t="s">
        <v>192</v>
      </c>
      <c r="M48" s="13" t="s">
        <v>192</v>
      </c>
      <c r="N48" s="197">
        <v>43556</v>
      </c>
      <c r="O48" s="16">
        <v>45748</v>
      </c>
      <c r="P48" s="13">
        <v>213909.58</v>
      </c>
      <c r="Q48" s="242" t="e">
        <v>#VALUE!</v>
      </c>
    </row>
    <row r="49" spans="1:17" x14ac:dyDescent="0.2">
      <c r="A49" s="4" t="s">
        <v>31</v>
      </c>
      <c r="B49" s="13">
        <v>1205115490</v>
      </c>
      <c r="C49" s="13">
        <v>1160862862.73</v>
      </c>
      <c r="D49" s="13">
        <v>44252627.269999981</v>
      </c>
      <c r="E49" s="13">
        <v>21136435.940000001</v>
      </c>
      <c r="F49" s="13">
        <v>22499042</v>
      </c>
      <c r="G49" s="14">
        <v>1.97</v>
      </c>
      <c r="H49" s="14">
        <v>0.94</v>
      </c>
      <c r="I49" s="13">
        <v>1761369.6616666669</v>
      </c>
      <c r="J49" s="15">
        <v>4</v>
      </c>
      <c r="K49" s="13">
        <v>37207148.623333313</v>
      </c>
      <c r="L49" s="13" t="s">
        <v>192</v>
      </c>
      <c r="M49" s="13" t="s">
        <v>192</v>
      </c>
      <c r="N49" s="197">
        <v>43922</v>
      </c>
      <c r="O49" s="16">
        <v>45748</v>
      </c>
      <c r="P49" s="13">
        <v>753723.92</v>
      </c>
      <c r="Q49" s="242" t="e">
        <v>#VALUE!</v>
      </c>
    </row>
    <row r="50" spans="1:17" x14ac:dyDescent="0.2">
      <c r="A50" s="4" t="s">
        <v>50</v>
      </c>
      <c r="B50" s="13">
        <v>545409679.30999994</v>
      </c>
      <c r="C50" s="13">
        <v>523769079.70999998</v>
      </c>
      <c r="D50" s="13">
        <v>21640599.599999964</v>
      </c>
      <c r="E50" s="13">
        <v>13763199.4</v>
      </c>
      <c r="F50" s="13">
        <v>11656242</v>
      </c>
      <c r="G50" s="14">
        <v>1.86</v>
      </c>
      <c r="H50" s="14">
        <v>1.18</v>
      </c>
      <c r="I50" s="13">
        <v>1146933.2833333334</v>
      </c>
      <c r="J50" s="15">
        <v>1</v>
      </c>
      <c r="K50" s="13">
        <v>20493666.316666629</v>
      </c>
      <c r="L50" s="13" t="s">
        <v>192</v>
      </c>
      <c r="M50" s="13" t="s">
        <v>192</v>
      </c>
      <c r="N50" s="197">
        <v>43831</v>
      </c>
      <c r="O50" s="16">
        <v>45658</v>
      </c>
      <c r="P50" s="13">
        <v>963746.46</v>
      </c>
      <c r="Q50" s="242" t="e">
        <v>#VALUE!</v>
      </c>
    </row>
    <row r="51" spans="1:17" x14ac:dyDescent="0.2">
      <c r="A51" s="4" t="s">
        <v>58</v>
      </c>
      <c r="B51" s="13">
        <v>238203233</v>
      </c>
      <c r="C51" s="13">
        <v>233443786.21000001</v>
      </c>
      <c r="D51" s="13">
        <v>4759446.7899999917</v>
      </c>
      <c r="E51" s="13">
        <v>6962652.5099999998</v>
      </c>
      <c r="F51" s="13">
        <v>5501208</v>
      </c>
      <c r="G51" s="14">
        <v>0.87</v>
      </c>
      <c r="H51" s="14">
        <v>1.27</v>
      </c>
      <c r="I51" s="13">
        <v>580221.04249999998</v>
      </c>
      <c r="J51" s="15">
        <v>7</v>
      </c>
      <c r="K51" s="13">
        <v>697899.49249999179</v>
      </c>
      <c r="L51" s="13" t="s">
        <v>192</v>
      </c>
      <c r="M51" s="13" t="s">
        <v>192</v>
      </c>
      <c r="N51" s="197">
        <v>43647</v>
      </c>
      <c r="O51" s="16">
        <v>45839</v>
      </c>
      <c r="P51" s="13">
        <v>33335.81</v>
      </c>
      <c r="Q51" s="242" t="e">
        <v>#VALUE!</v>
      </c>
    </row>
    <row r="52" spans="1:17" x14ac:dyDescent="0.2">
      <c r="A52" s="4" t="s">
        <v>22</v>
      </c>
      <c r="B52" s="13">
        <v>75470621</v>
      </c>
      <c r="C52" s="13">
        <v>73604521.620000005</v>
      </c>
      <c r="D52" s="18">
        <v>1866099.3799999952</v>
      </c>
      <c r="E52" s="13">
        <v>2625165.41</v>
      </c>
      <c r="F52" s="13">
        <v>2752623</v>
      </c>
      <c r="G52" s="14">
        <v>0.68</v>
      </c>
      <c r="H52" s="14">
        <v>0.95</v>
      </c>
      <c r="I52" s="18">
        <v>218763.78416666668</v>
      </c>
      <c r="J52" s="15">
        <v>7</v>
      </c>
      <c r="K52" s="18">
        <v>334752.89083332848</v>
      </c>
      <c r="L52" s="18" t="s">
        <v>192</v>
      </c>
      <c r="M52" s="18" t="s">
        <v>192</v>
      </c>
      <c r="N52" s="198">
        <v>43647</v>
      </c>
      <c r="O52" s="16">
        <v>45839</v>
      </c>
      <c r="P52" s="13">
        <v>132525.57999999999</v>
      </c>
      <c r="Q52" s="242" t="e">
        <v>#VALUE!</v>
      </c>
    </row>
    <row r="53" spans="1:17" x14ac:dyDescent="0.25">
      <c r="A53" s="36" t="s">
        <v>65</v>
      </c>
      <c r="B53" s="33">
        <v>43808641242.440002</v>
      </c>
      <c r="C53" s="13">
        <v>40306642476.059998</v>
      </c>
      <c r="D53" s="33">
        <v>3501998766.3800049</v>
      </c>
      <c r="E53" s="13">
        <v>951328665.97000003</v>
      </c>
      <c r="F53" s="13">
        <v>983528971</v>
      </c>
      <c r="G53" s="14">
        <v>3.56</v>
      </c>
      <c r="H53" s="14">
        <v>0.97</v>
      </c>
      <c r="I53" s="33">
        <v>79277388.830833331</v>
      </c>
      <c r="J53" s="34"/>
      <c r="K53" s="35"/>
      <c r="L53" s="35"/>
      <c r="M53" s="35"/>
      <c r="N53" s="35"/>
      <c r="O53" s="35"/>
      <c r="P53" s="33">
        <v>89460376.109999999</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40</v>
      </c>
      <c r="H56" s="25"/>
    </row>
    <row r="57" spans="1:17" ht="27" customHeight="1" thickBot="1" x14ac:dyDescent="0.3">
      <c r="D57" s="248" t="s">
        <v>67</v>
      </c>
      <c r="E57" s="249"/>
      <c r="F57" s="249"/>
      <c r="G57" s="27"/>
      <c r="H57" s="28">
        <v>29</v>
      </c>
    </row>
  </sheetData>
  <mergeCells count="2">
    <mergeCell ref="D56:F56"/>
    <mergeCell ref="D57:F57"/>
  </mergeCells>
  <conditionalFormatting sqref="G54">
    <cfRule type="cellIs" dxfId="265" priority="13" stopIfTrue="1" operator="greaterThan">
      <formula>2.5</formula>
    </cfRule>
    <cfRule type="cellIs" dxfId="264" priority="14" stopIfTrue="1" operator="between">
      <formula>2.01</formula>
      <formula>2.5</formula>
    </cfRule>
  </conditionalFormatting>
  <conditionalFormatting sqref="H3:H53">
    <cfRule type="cellIs" dxfId="263" priority="12" stopIfTrue="1" operator="lessThan">
      <formula>1</formula>
    </cfRule>
  </conditionalFormatting>
  <conditionalFormatting sqref="G3:G53">
    <cfRule type="cellIs" dxfId="262" priority="10" stopIfTrue="1" operator="greaterThan">
      <formula>2.5</formula>
    </cfRule>
    <cfRule type="cellIs" dxfId="261" priority="11" stopIfTrue="1" operator="between">
      <formula>2.01</formula>
      <formula>2.5</formula>
    </cfRule>
  </conditionalFormatting>
  <conditionalFormatting sqref="K3:K52">
    <cfRule type="cellIs" dxfId="260" priority="8" stopIfTrue="1" operator="greaterThan">
      <formula>$F3*2.5</formula>
    </cfRule>
    <cfRule type="cellIs" dxfId="259" priority="9" stopIfTrue="1" operator="between">
      <formula>$F3*2</formula>
      <formula>$F3*2.5</formula>
    </cfRule>
  </conditionalFormatting>
  <conditionalFormatting sqref="G54">
    <cfRule type="cellIs" dxfId="258" priority="6" stopIfTrue="1" operator="greaterThan">
      <formula>2.5</formula>
    </cfRule>
    <cfRule type="cellIs" dxfId="257" priority="7" stopIfTrue="1" operator="between">
      <formula>2.01</formula>
      <formula>2.5</formula>
    </cfRule>
  </conditionalFormatting>
  <conditionalFormatting sqref="H3:H53">
    <cfRule type="cellIs" dxfId="256" priority="5" stopIfTrue="1" operator="lessThan">
      <formula>1</formula>
    </cfRule>
  </conditionalFormatting>
  <conditionalFormatting sqref="G3:G53">
    <cfRule type="cellIs" dxfId="255" priority="3" stopIfTrue="1" operator="greaterThan">
      <formula>2.5</formula>
    </cfRule>
    <cfRule type="cellIs" dxfId="254" priority="4" stopIfTrue="1" operator="between">
      <formula>2.01</formula>
      <formula>2.5</formula>
    </cfRule>
  </conditionalFormatting>
  <conditionalFormatting sqref="K3:K52">
    <cfRule type="cellIs" dxfId="253" priority="1" stopIfTrue="1" operator="greaterThan">
      <formula>$F3*2.5</formula>
    </cfRule>
    <cfRule type="cellIs" dxfId="252"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8EEB6-20C5-464D-ACC5-F70A606B26BB}">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285</v>
      </c>
      <c r="B1" s="196" t="s">
        <v>286</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62</v>
      </c>
      <c r="B3" s="13">
        <v>722479384.32000005</v>
      </c>
      <c r="C3" s="13">
        <v>642861426.57000005</v>
      </c>
      <c r="D3" s="13">
        <v>79617957.75</v>
      </c>
      <c r="E3" s="13">
        <v>12436108.189999999</v>
      </c>
      <c r="F3" s="13">
        <v>13783001</v>
      </c>
      <c r="G3" s="14">
        <v>5.78</v>
      </c>
      <c r="H3" s="14">
        <v>0.9</v>
      </c>
      <c r="I3" s="13">
        <v>1036342.3491666666</v>
      </c>
      <c r="J3" s="15">
        <v>6</v>
      </c>
      <c r="K3" s="13">
        <v>73399903.655000001</v>
      </c>
      <c r="L3" s="13">
        <v>8675325.958333334</v>
      </c>
      <c r="M3" s="13">
        <v>7526742.541666667</v>
      </c>
      <c r="N3" s="197">
        <v>43647</v>
      </c>
      <c r="O3" s="16">
        <v>45839</v>
      </c>
      <c r="P3" s="13">
        <v>1108955.6399999999</v>
      </c>
      <c r="Q3" s="243" t="e">
        <v>#VALUE!</v>
      </c>
    </row>
    <row r="4" spans="1:17" x14ac:dyDescent="0.2">
      <c r="A4" s="4" t="s">
        <v>46</v>
      </c>
      <c r="B4" s="13">
        <v>1834758280.3599999</v>
      </c>
      <c r="C4" s="13">
        <v>1569599164.95</v>
      </c>
      <c r="D4" s="13">
        <v>265159115.40999985</v>
      </c>
      <c r="E4" s="13">
        <v>44884116.549999997</v>
      </c>
      <c r="F4" s="13">
        <v>46162390</v>
      </c>
      <c r="G4" s="14">
        <v>5.74</v>
      </c>
      <c r="H4" s="14">
        <v>0.97</v>
      </c>
      <c r="I4" s="13">
        <v>3740343.0458333329</v>
      </c>
      <c r="J4" s="15">
        <v>0</v>
      </c>
      <c r="K4" s="13">
        <v>265159115.40999985</v>
      </c>
      <c r="L4" s="13" t="s">
        <v>193</v>
      </c>
      <c r="M4" s="13" t="s">
        <v>193</v>
      </c>
      <c r="N4" s="197">
        <v>43831</v>
      </c>
      <c r="O4" s="16">
        <v>45658</v>
      </c>
      <c r="P4" s="13">
        <v>2022189.15</v>
      </c>
      <c r="Q4" s="242" t="e">
        <v>#VALUE!</v>
      </c>
    </row>
    <row r="5" spans="1:17" x14ac:dyDescent="0.2">
      <c r="A5" s="4" t="s">
        <v>35</v>
      </c>
      <c r="B5" s="13">
        <v>1503333344.97</v>
      </c>
      <c r="C5" s="13">
        <v>1312640559.4100001</v>
      </c>
      <c r="D5" s="13">
        <v>190692785.55999994</v>
      </c>
      <c r="E5" s="13">
        <v>19826291.030000001</v>
      </c>
      <c r="F5" s="13">
        <v>34090474</v>
      </c>
      <c r="G5" s="14">
        <v>5.59</v>
      </c>
      <c r="H5" s="14">
        <v>0.57999999999999996</v>
      </c>
      <c r="I5" s="13">
        <v>1652190.9191666667</v>
      </c>
      <c r="J5" s="15">
        <v>6</v>
      </c>
      <c r="K5" s="13">
        <v>180779640.04499996</v>
      </c>
      <c r="L5" s="13">
        <v>20418639.593333323</v>
      </c>
      <c r="M5" s="13">
        <v>17577766.75999999</v>
      </c>
      <c r="N5" s="197">
        <v>43647</v>
      </c>
      <c r="O5" s="16">
        <v>45839</v>
      </c>
      <c r="P5" s="13">
        <v>5892902.1600000001</v>
      </c>
      <c r="Q5" s="242" t="e">
        <v>#VALUE!</v>
      </c>
    </row>
    <row r="6" spans="1:17" x14ac:dyDescent="0.2">
      <c r="A6" s="4" t="s">
        <v>23</v>
      </c>
      <c r="B6" s="13">
        <v>1137390436.8499999</v>
      </c>
      <c r="C6" s="13">
        <v>1005977747.65</v>
      </c>
      <c r="D6" s="13">
        <v>131412689.19999993</v>
      </c>
      <c r="E6" s="13">
        <v>24534908.300000001</v>
      </c>
      <c r="F6" s="13">
        <v>24778539</v>
      </c>
      <c r="G6" s="14">
        <v>5.3</v>
      </c>
      <c r="H6" s="14">
        <v>0.99</v>
      </c>
      <c r="I6" s="13">
        <v>2044575.6916666667</v>
      </c>
      <c r="J6" s="15">
        <v>6</v>
      </c>
      <c r="K6" s="13">
        <v>119145235.04999992</v>
      </c>
      <c r="L6" s="13">
        <v>13642601.866666654</v>
      </c>
      <c r="M6" s="13">
        <v>11577723.616666654</v>
      </c>
      <c r="N6" s="197">
        <v>43647</v>
      </c>
      <c r="O6" s="16">
        <v>45839</v>
      </c>
      <c r="P6" s="13">
        <v>723519.45</v>
      </c>
      <c r="Q6" s="242" t="e">
        <v>#VALUE!</v>
      </c>
    </row>
    <row r="7" spans="1:17" x14ac:dyDescent="0.2">
      <c r="A7" s="4" t="s">
        <v>64</v>
      </c>
      <c r="B7" s="13">
        <v>124445693.39</v>
      </c>
      <c r="C7" s="13">
        <v>106607504.84</v>
      </c>
      <c r="D7" s="13">
        <v>17838188.549999997</v>
      </c>
      <c r="E7" s="13">
        <v>2301259.2000000002</v>
      </c>
      <c r="F7" s="13">
        <v>3545933</v>
      </c>
      <c r="G7" s="14">
        <v>5.03</v>
      </c>
      <c r="H7" s="14">
        <v>0.65</v>
      </c>
      <c r="I7" s="13">
        <v>191771.6</v>
      </c>
      <c r="J7" s="15">
        <v>0</v>
      </c>
      <c r="K7" s="13">
        <v>17838188.549999997</v>
      </c>
      <c r="L7" s="13" t="s">
        <v>193</v>
      </c>
      <c r="M7" s="13" t="s">
        <v>193</v>
      </c>
      <c r="N7" s="197">
        <v>43831</v>
      </c>
      <c r="O7" s="16">
        <v>45658</v>
      </c>
      <c r="P7" s="13">
        <v>651135.25</v>
      </c>
      <c r="Q7" s="242" t="e">
        <v>#VALUE!</v>
      </c>
    </row>
    <row r="8" spans="1:17" x14ac:dyDescent="0.2">
      <c r="A8" s="4" t="s">
        <v>30</v>
      </c>
      <c r="B8" s="13">
        <v>1194130799.73</v>
      </c>
      <c r="C8" s="13">
        <v>1075664199.51</v>
      </c>
      <c r="D8" s="13">
        <v>118466600.22000003</v>
      </c>
      <c r="E8" s="13">
        <v>20648000.620000001</v>
      </c>
      <c r="F8" s="13">
        <v>25988523</v>
      </c>
      <c r="G8" s="14">
        <v>4.5599999999999996</v>
      </c>
      <c r="H8" s="14">
        <v>0.79</v>
      </c>
      <c r="I8" s="13">
        <v>1720666.7183333335</v>
      </c>
      <c r="J8" s="15">
        <v>6</v>
      </c>
      <c r="K8" s="13">
        <v>108142599.91000003</v>
      </c>
      <c r="L8" s="13">
        <v>11081592.370000005</v>
      </c>
      <c r="M8" s="13">
        <v>8915882.1200000048</v>
      </c>
      <c r="N8" s="197">
        <v>43647</v>
      </c>
      <c r="O8" s="16">
        <v>45839</v>
      </c>
      <c r="P8" s="13">
        <v>1134595</v>
      </c>
      <c r="Q8" s="242" t="e">
        <v>#VALUE!</v>
      </c>
    </row>
    <row r="9" spans="1:17" x14ac:dyDescent="0.2">
      <c r="A9" s="4" t="s">
        <v>36</v>
      </c>
      <c r="B9" s="13">
        <v>872347192</v>
      </c>
      <c r="C9" s="13">
        <v>785817873.26999998</v>
      </c>
      <c r="D9" s="13">
        <v>86529318.730000019</v>
      </c>
      <c r="E9" s="13">
        <v>17410558.09</v>
      </c>
      <c r="F9" s="13">
        <v>19090913</v>
      </c>
      <c r="G9" s="14">
        <v>4.53</v>
      </c>
      <c r="H9" s="14">
        <v>0.91</v>
      </c>
      <c r="I9" s="13">
        <v>1450879.8408333333</v>
      </c>
      <c r="J9" s="15">
        <v>9</v>
      </c>
      <c r="K9" s="13">
        <v>73471400.162500024</v>
      </c>
      <c r="L9" s="13">
        <v>5371943.6366666686</v>
      </c>
      <c r="M9" s="13">
        <v>4311337.3588888906</v>
      </c>
      <c r="N9" s="197">
        <v>43739</v>
      </c>
      <c r="O9" s="16">
        <v>45931</v>
      </c>
      <c r="P9" s="13">
        <v>2631296.89</v>
      </c>
      <c r="Q9" s="242" t="e">
        <v>#VALUE!</v>
      </c>
    </row>
    <row r="10" spans="1:17" x14ac:dyDescent="0.2">
      <c r="A10" s="4" t="s">
        <v>47</v>
      </c>
      <c r="B10" s="13">
        <v>190999038.36000001</v>
      </c>
      <c r="C10" s="13">
        <v>175212672.81999999</v>
      </c>
      <c r="D10" s="13">
        <v>15786365.540000021</v>
      </c>
      <c r="E10" s="13">
        <v>3459160.48</v>
      </c>
      <c r="F10" s="13">
        <v>3551615</v>
      </c>
      <c r="G10" s="14">
        <v>4.4400000000000004</v>
      </c>
      <c r="H10" s="14">
        <v>0.97</v>
      </c>
      <c r="I10" s="13">
        <v>288263.37333333335</v>
      </c>
      <c r="J10" s="15">
        <v>6</v>
      </c>
      <c r="K10" s="13">
        <v>14056785.300000021</v>
      </c>
      <c r="L10" s="13">
        <v>1447189.2566666703</v>
      </c>
      <c r="M10" s="13">
        <v>1151221.3400000036</v>
      </c>
      <c r="N10" s="197">
        <v>43647</v>
      </c>
      <c r="O10" s="16">
        <v>45839</v>
      </c>
      <c r="P10" s="13">
        <v>1238126.8</v>
      </c>
      <c r="Q10" s="242" t="e">
        <v>#VALUE!</v>
      </c>
    </row>
    <row r="11" spans="1:17" x14ac:dyDescent="0.2">
      <c r="A11" s="4" t="s">
        <v>52</v>
      </c>
      <c r="B11" s="13">
        <v>1966895481</v>
      </c>
      <c r="C11" s="13">
        <v>1870050540.4000001</v>
      </c>
      <c r="D11" s="13">
        <v>96844940.599999905</v>
      </c>
      <c r="E11" s="13">
        <v>22090969.300000001</v>
      </c>
      <c r="F11" s="13">
        <v>21788490</v>
      </c>
      <c r="G11" s="14">
        <v>4.4400000000000004</v>
      </c>
      <c r="H11" s="14">
        <v>1.01</v>
      </c>
      <c r="I11" s="13">
        <v>1840914.1083333334</v>
      </c>
      <c r="J11" s="15">
        <v>6</v>
      </c>
      <c r="K11" s="13">
        <v>85799455.949999899</v>
      </c>
      <c r="L11" s="13">
        <v>8877993.4333333168</v>
      </c>
      <c r="M11" s="13">
        <v>7062285.9333333177</v>
      </c>
      <c r="N11" s="197">
        <v>43647</v>
      </c>
      <c r="O11" s="16">
        <v>45839</v>
      </c>
      <c r="P11" s="13">
        <v>3577198.18</v>
      </c>
      <c r="Q11" s="242" t="e">
        <v>#VALUE!</v>
      </c>
    </row>
    <row r="12" spans="1:17" x14ac:dyDescent="0.2">
      <c r="A12" s="4" t="s">
        <v>40</v>
      </c>
      <c r="B12" s="13">
        <v>511163315.91000003</v>
      </c>
      <c r="C12" s="13">
        <v>464265812.19</v>
      </c>
      <c r="D12" s="13">
        <v>46897503.720000029</v>
      </c>
      <c r="E12" s="13">
        <v>4433427.82</v>
      </c>
      <c r="F12" s="13">
        <v>10598087</v>
      </c>
      <c r="G12" s="14">
        <v>4.43</v>
      </c>
      <c r="H12" s="14">
        <v>0.42</v>
      </c>
      <c r="I12" s="13">
        <v>369452.31833333336</v>
      </c>
      <c r="J12" s="15">
        <v>6</v>
      </c>
      <c r="K12" s="13">
        <v>44680789.810000032</v>
      </c>
      <c r="L12" s="13">
        <v>4283554.9533333378</v>
      </c>
      <c r="M12" s="13">
        <v>3400381.0366666713</v>
      </c>
      <c r="N12" s="197">
        <v>43647</v>
      </c>
      <c r="O12" s="16">
        <v>45839</v>
      </c>
      <c r="P12" s="13">
        <v>222430.37</v>
      </c>
      <c r="Q12" s="242" t="e">
        <v>#VALUE!</v>
      </c>
    </row>
    <row r="13" spans="1:17" x14ac:dyDescent="0.2">
      <c r="A13" s="4" t="s">
        <v>60</v>
      </c>
      <c r="B13" s="13">
        <v>813673223</v>
      </c>
      <c r="C13" s="13">
        <v>729491809.11000001</v>
      </c>
      <c r="D13" s="13">
        <v>84181413.889999986</v>
      </c>
      <c r="E13" s="13">
        <v>14081265.939999999</v>
      </c>
      <c r="F13" s="13">
        <v>19453948</v>
      </c>
      <c r="G13" s="14">
        <v>4.33</v>
      </c>
      <c r="H13" s="14">
        <v>0.72</v>
      </c>
      <c r="I13" s="13">
        <v>1173438.8283333334</v>
      </c>
      <c r="J13" s="15">
        <v>6</v>
      </c>
      <c r="K13" s="13">
        <v>77140780.919999987</v>
      </c>
      <c r="L13" s="13">
        <v>7545586.3149999976</v>
      </c>
      <c r="M13" s="13">
        <v>5924423.9816666646</v>
      </c>
      <c r="N13" s="197">
        <v>43647</v>
      </c>
      <c r="O13" s="16">
        <v>45839</v>
      </c>
      <c r="P13" s="13">
        <v>1156035.03</v>
      </c>
      <c r="Q13" s="242" t="e">
        <v>#VALUE!</v>
      </c>
    </row>
    <row r="14" spans="1:17" x14ac:dyDescent="0.2">
      <c r="A14" s="4" t="s">
        <v>19</v>
      </c>
      <c r="B14" s="13">
        <v>1468177330.9100001</v>
      </c>
      <c r="C14" s="13">
        <v>1340572103.54</v>
      </c>
      <c r="D14" s="13">
        <v>127605227.37000012</v>
      </c>
      <c r="E14" s="13">
        <v>32441152.960000001</v>
      </c>
      <c r="F14" s="13">
        <v>29748591</v>
      </c>
      <c r="G14" s="14">
        <v>4.29</v>
      </c>
      <c r="H14" s="14">
        <v>1.0900000000000001</v>
      </c>
      <c r="I14" s="13">
        <v>2703429.4133333336</v>
      </c>
      <c r="J14" s="15">
        <v>6</v>
      </c>
      <c r="K14" s="13">
        <v>111384650.89000012</v>
      </c>
      <c r="L14" s="13">
        <v>11351340.89500002</v>
      </c>
      <c r="M14" s="13">
        <v>8872291.64500002</v>
      </c>
      <c r="N14" s="197">
        <v>43647</v>
      </c>
      <c r="O14" s="16">
        <v>45839</v>
      </c>
      <c r="P14" s="13">
        <v>3542961.78</v>
      </c>
      <c r="Q14" s="242" t="e">
        <v>#VALUE!</v>
      </c>
    </row>
    <row r="15" spans="1:17" x14ac:dyDescent="0.2">
      <c r="A15" s="4" t="s">
        <v>16</v>
      </c>
      <c r="B15" s="13">
        <v>107063879</v>
      </c>
      <c r="C15" s="13">
        <v>95677442.549999997</v>
      </c>
      <c r="D15" s="13">
        <v>11386436.450000003</v>
      </c>
      <c r="E15" s="13">
        <v>1453315.95</v>
      </c>
      <c r="F15" s="13">
        <v>2669761</v>
      </c>
      <c r="G15" s="14">
        <v>4.26</v>
      </c>
      <c r="H15" s="14">
        <v>0.54</v>
      </c>
      <c r="I15" s="13">
        <v>121109.66249999999</v>
      </c>
      <c r="J15" s="15">
        <v>6</v>
      </c>
      <c r="K15" s="13">
        <v>10659778.475000003</v>
      </c>
      <c r="L15" s="13">
        <v>1007819.0750000005</v>
      </c>
      <c r="M15" s="13">
        <v>785338.99166666716</v>
      </c>
      <c r="N15" s="197">
        <v>43647</v>
      </c>
      <c r="O15" s="16">
        <v>45839</v>
      </c>
      <c r="P15" s="13">
        <v>47691.33</v>
      </c>
      <c r="Q15" s="242" t="e">
        <v>#VALUE!</v>
      </c>
    </row>
    <row r="16" spans="1:17" x14ac:dyDescent="0.2">
      <c r="A16" s="4" t="s">
        <v>54</v>
      </c>
      <c r="B16" s="13">
        <v>1042589157.45</v>
      </c>
      <c r="C16" s="13">
        <v>963595068.20000005</v>
      </c>
      <c r="D16" s="13">
        <v>78994089.25</v>
      </c>
      <c r="E16" s="13">
        <v>23374053.34</v>
      </c>
      <c r="F16" s="13">
        <v>20158365</v>
      </c>
      <c r="G16" s="14">
        <v>3.92</v>
      </c>
      <c r="H16" s="14">
        <v>1.1599999999999999</v>
      </c>
      <c r="I16" s="13">
        <v>1947837.7783333333</v>
      </c>
      <c r="J16" s="15">
        <v>3</v>
      </c>
      <c r="K16" s="13">
        <v>73150575.915000007</v>
      </c>
      <c r="L16" s="13">
        <v>12892453.083333334</v>
      </c>
      <c r="M16" s="13">
        <v>9532725.583333334</v>
      </c>
      <c r="N16" s="197">
        <v>43922</v>
      </c>
      <c r="O16" s="16">
        <v>45748</v>
      </c>
      <c r="P16" s="13">
        <v>2097630</v>
      </c>
      <c r="Q16" s="242" t="e">
        <v>#VALUE!</v>
      </c>
    </row>
    <row r="17" spans="1:17" x14ac:dyDescent="0.2">
      <c r="A17" s="4" t="s">
        <v>38</v>
      </c>
      <c r="B17" s="13">
        <v>1033187132</v>
      </c>
      <c r="C17" s="13">
        <v>946643379.98000002</v>
      </c>
      <c r="D17" s="13">
        <v>86543752.019999981</v>
      </c>
      <c r="E17" s="13">
        <v>24838430.73</v>
      </c>
      <c r="F17" s="13">
        <v>22862412</v>
      </c>
      <c r="G17" s="14">
        <v>3.79</v>
      </c>
      <c r="H17" s="14">
        <v>1.0900000000000001</v>
      </c>
      <c r="I17" s="13">
        <v>2069869.2275</v>
      </c>
      <c r="J17" s="15">
        <v>3</v>
      </c>
      <c r="K17" s="13">
        <v>80334144.337499976</v>
      </c>
      <c r="L17" s="13">
        <v>13606309.339999994</v>
      </c>
      <c r="M17" s="13">
        <v>9795907.3399999943</v>
      </c>
      <c r="N17" s="197">
        <v>43922</v>
      </c>
      <c r="O17" s="16">
        <v>45748</v>
      </c>
      <c r="P17" s="13">
        <v>4255144.58</v>
      </c>
      <c r="Q17" s="242" t="e">
        <v>#VALUE!</v>
      </c>
    </row>
    <row r="18" spans="1:17" x14ac:dyDescent="0.2">
      <c r="A18" s="4" t="s">
        <v>26</v>
      </c>
      <c r="B18" s="13">
        <v>1336269126.0599999</v>
      </c>
      <c r="C18" s="13">
        <v>1227680907.0799999</v>
      </c>
      <c r="D18" s="13">
        <v>108588218.98000002</v>
      </c>
      <c r="E18" s="13">
        <v>48586224.399999999</v>
      </c>
      <c r="F18" s="13">
        <v>29074134</v>
      </c>
      <c r="G18" s="14">
        <v>3.73</v>
      </c>
      <c r="H18" s="14">
        <v>1.67</v>
      </c>
      <c r="I18" s="13">
        <v>4048852.0333333332</v>
      </c>
      <c r="J18" s="15">
        <v>0</v>
      </c>
      <c r="K18" s="13">
        <v>108588218.98000002</v>
      </c>
      <c r="L18" s="13" t="s">
        <v>193</v>
      </c>
      <c r="M18" s="13" t="s">
        <v>193</v>
      </c>
      <c r="N18" s="197">
        <v>43831</v>
      </c>
      <c r="O18" s="16">
        <v>45658</v>
      </c>
      <c r="P18" s="13">
        <v>9638965.8000000007</v>
      </c>
      <c r="Q18" s="242" t="e">
        <v>#VALUE!</v>
      </c>
    </row>
    <row r="19" spans="1:17" x14ac:dyDescent="0.2">
      <c r="A19" s="4" t="s">
        <v>44</v>
      </c>
      <c r="B19" s="13">
        <v>493558716</v>
      </c>
      <c r="C19" s="13">
        <v>453288500.88999999</v>
      </c>
      <c r="D19" s="13">
        <v>40270215.110000014</v>
      </c>
      <c r="E19" s="13">
        <v>9537032.5099999998</v>
      </c>
      <c r="F19" s="13">
        <v>11038481</v>
      </c>
      <c r="G19" s="14">
        <v>3.65</v>
      </c>
      <c r="H19" s="14">
        <v>0.86</v>
      </c>
      <c r="I19" s="13">
        <v>794752.70916666661</v>
      </c>
      <c r="J19" s="15">
        <v>0</v>
      </c>
      <c r="K19" s="13">
        <v>40270215.110000014</v>
      </c>
      <c r="L19" s="13" t="s">
        <v>193</v>
      </c>
      <c r="M19" s="13" t="s">
        <v>193</v>
      </c>
      <c r="N19" s="197">
        <v>43831</v>
      </c>
      <c r="O19" s="16">
        <v>45658</v>
      </c>
      <c r="P19" s="13">
        <v>973734.64</v>
      </c>
      <c r="Q19" s="242" t="e">
        <v>#VALUE!</v>
      </c>
    </row>
    <row r="20" spans="1:17" x14ac:dyDescent="0.2">
      <c r="A20" s="4" t="s">
        <v>51</v>
      </c>
      <c r="B20" s="13">
        <v>2041893568.29</v>
      </c>
      <c r="C20" s="13">
        <v>1893977875.48</v>
      </c>
      <c r="D20" s="13">
        <v>147915692.80999994</v>
      </c>
      <c r="E20" s="13">
        <v>35280513.039999999</v>
      </c>
      <c r="F20" s="13">
        <v>40828727</v>
      </c>
      <c r="G20" s="14">
        <v>3.62</v>
      </c>
      <c r="H20" s="14">
        <v>0.86</v>
      </c>
      <c r="I20" s="13">
        <v>2940042.7533333334</v>
      </c>
      <c r="J20" s="15">
        <v>0</v>
      </c>
      <c r="K20" s="13">
        <v>147915692.80999994</v>
      </c>
      <c r="L20" s="13" t="s">
        <v>193</v>
      </c>
      <c r="M20" s="13" t="s">
        <v>193</v>
      </c>
      <c r="N20" s="197">
        <v>43831</v>
      </c>
      <c r="O20" s="16">
        <v>45658</v>
      </c>
      <c r="P20" s="13">
        <v>3460973.11</v>
      </c>
      <c r="Q20" s="242" t="e">
        <v>#VALUE!</v>
      </c>
    </row>
    <row r="21" spans="1:17" x14ac:dyDescent="0.2">
      <c r="A21" s="4" t="s">
        <v>45</v>
      </c>
      <c r="B21" s="13">
        <v>1276422533.53</v>
      </c>
      <c r="C21" s="13">
        <v>1107407135.1600001</v>
      </c>
      <c r="D21" s="13">
        <v>169015398.36999989</v>
      </c>
      <c r="E21" s="13">
        <v>41510165.170000002</v>
      </c>
      <c r="F21" s="13">
        <v>47644860</v>
      </c>
      <c r="G21" s="14">
        <v>3.55</v>
      </c>
      <c r="H21" s="14">
        <v>0.87</v>
      </c>
      <c r="I21" s="13">
        <v>3459180.4308333336</v>
      </c>
      <c r="J21" s="15">
        <v>0</v>
      </c>
      <c r="K21" s="13">
        <v>169015398.36999989</v>
      </c>
      <c r="L21" s="13" t="s">
        <v>193</v>
      </c>
      <c r="M21" s="13" t="s">
        <v>193</v>
      </c>
      <c r="N21" s="197">
        <v>43831</v>
      </c>
      <c r="O21" s="16">
        <v>45658</v>
      </c>
      <c r="P21" s="13">
        <v>4474957.21</v>
      </c>
      <c r="Q21" s="242" t="e">
        <v>#VALUE!</v>
      </c>
    </row>
    <row r="22" spans="1:17" x14ac:dyDescent="0.2">
      <c r="A22" s="4" t="s">
        <v>28</v>
      </c>
      <c r="B22" s="13">
        <v>1083940953</v>
      </c>
      <c r="C22" s="13">
        <v>999527230.72000003</v>
      </c>
      <c r="D22" s="13">
        <v>84413722.279999971</v>
      </c>
      <c r="E22" s="13">
        <v>21812926.09</v>
      </c>
      <c r="F22" s="13">
        <v>24208645</v>
      </c>
      <c r="G22" s="14">
        <v>3.49</v>
      </c>
      <c r="H22" s="14">
        <v>0.9</v>
      </c>
      <c r="I22" s="13">
        <v>1817743.8408333333</v>
      </c>
      <c r="J22" s="15">
        <v>0</v>
      </c>
      <c r="K22" s="13">
        <v>84413722.279999971</v>
      </c>
      <c r="L22" s="13" t="s">
        <v>193</v>
      </c>
      <c r="M22" s="13" t="s">
        <v>193</v>
      </c>
      <c r="N22" s="197">
        <v>43831</v>
      </c>
      <c r="O22" s="16">
        <v>45658</v>
      </c>
      <c r="P22" s="13">
        <v>2769887.53</v>
      </c>
      <c r="Q22" s="242" t="e">
        <v>#VALUE!</v>
      </c>
    </row>
    <row r="23" spans="1:17" x14ac:dyDescent="0.2">
      <c r="A23" s="4" t="s">
        <v>29</v>
      </c>
      <c r="B23" s="13">
        <v>689945660</v>
      </c>
      <c r="C23" s="13">
        <v>638588812.97000003</v>
      </c>
      <c r="D23" s="13">
        <v>51356847.029999971</v>
      </c>
      <c r="E23" s="13">
        <v>9870695.4100000001</v>
      </c>
      <c r="F23" s="13">
        <v>14901309</v>
      </c>
      <c r="G23" s="14">
        <v>3.45</v>
      </c>
      <c r="H23" s="14">
        <v>0.66</v>
      </c>
      <c r="I23" s="13">
        <v>822557.95083333331</v>
      </c>
      <c r="J23" s="15">
        <v>0</v>
      </c>
      <c r="K23" s="13">
        <v>51356847.029999971</v>
      </c>
      <c r="L23" s="13" t="s">
        <v>193</v>
      </c>
      <c r="M23" s="13" t="s">
        <v>193</v>
      </c>
      <c r="N23" s="197">
        <v>43466</v>
      </c>
      <c r="O23" s="16">
        <v>45658</v>
      </c>
      <c r="P23" s="13">
        <v>249777.39</v>
      </c>
      <c r="Q23" s="242" t="e">
        <v>#VALUE!</v>
      </c>
    </row>
    <row r="24" spans="1:17" x14ac:dyDescent="0.2">
      <c r="A24" s="4" t="s">
        <v>39</v>
      </c>
      <c r="B24" s="13">
        <v>265120500</v>
      </c>
      <c r="C24" s="13">
        <v>244410555.06999999</v>
      </c>
      <c r="D24" s="13">
        <v>20709944.930000007</v>
      </c>
      <c r="E24" s="13">
        <v>8613502.7599999998</v>
      </c>
      <c r="F24" s="13">
        <v>6172506</v>
      </c>
      <c r="G24" s="14">
        <v>3.36</v>
      </c>
      <c r="H24" s="14">
        <v>1.4</v>
      </c>
      <c r="I24" s="13">
        <v>717791.89666666661</v>
      </c>
      <c r="J24" s="15">
        <v>3</v>
      </c>
      <c r="K24" s="13">
        <v>18556569.240000006</v>
      </c>
      <c r="L24" s="13">
        <v>2788310.9766666689</v>
      </c>
      <c r="M24" s="13">
        <v>1759559.9766666691</v>
      </c>
      <c r="N24" s="197">
        <v>43922</v>
      </c>
      <c r="O24" s="16">
        <v>45748</v>
      </c>
      <c r="P24" s="13">
        <v>653062.81999999995</v>
      </c>
      <c r="Q24" s="242" t="e">
        <v>#VALUE!</v>
      </c>
    </row>
    <row r="25" spans="1:17" x14ac:dyDescent="0.2">
      <c r="A25" s="4" t="s">
        <v>24</v>
      </c>
      <c r="B25" s="13">
        <v>1683242657.0699999</v>
      </c>
      <c r="C25" s="13">
        <v>1547192238.45</v>
      </c>
      <c r="D25" s="13">
        <v>136050418.61999989</v>
      </c>
      <c r="E25" s="13">
        <v>39967294.280000001</v>
      </c>
      <c r="F25" s="13">
        <v>40945091</v>
      </c>
      <c r="G25" s="14">
        <v>3.32</v>
      </c>
      <c r="H25" s="14">
        <v>0.98</v>
      </c>
      <c r="I25" s="13">
        <v>3330607.8566666669</v>
      </c>
      <c r="J25" s="15">
        <v>6</v>
      </c>
      <c r="K25" s="13">
        <v>116066771.47999988</v>
      </c>
      <c r="L25" s="13">
        <v>9026706.1033333149</v>
      </c>
      <c r="M25" s="13">
        <v>5614615.1866666479</v>
      </c>
      <c r="N25" s="197">
        <v>43647</v>
      </c>
      <c r="O25" s="16">
        <v>45839</v>
      </c>
      <c r="P25" s="13">
        <v>3601266.62</v>
      </c>
      <c r="Q25" s="242" t="e">
        <v>#VALUE!</v>
      </c>
    </row>
    <row r="26" spans="1:17" x14ac:dyDescent="0.2">
      <c r="A26" s="4" t="s">
        <v>56</v>
      </c>
      <c r="B26" s="13">
        <v>1182377479</v>
      </c>
      <c r="C26" s="13">
        <v>1092595510.48</v>
      </c>
      <c r="D26" s="13">
        <v>89781968.519999981</v>
      </c>
      <c r="E26" s="13">
        <v>22904723.710000001</v>
      </c>
      <c r="F26" s="13">
        <v>27472066</v>
      </c>
      <c r="G26" s="14">
        <v>3.27</v>
      </c>
      <c r="H26" s="14">
        <v>0.83</v>
      </c>
      <c r="I26" s="13">
        <v>1908726.9758333333</v>
      </c>
      <c r="J26" s="15">
        <v>6</v>
      </c>
      <c r="K26" s="13">
        <v>78329606.664999977</v>
      </c>
      <c r="L26" s="13">
        <v>5806306.0866666632</v>
      </c>
      <c r="M26" s="13">
        <v>3516967.2533333302</v>
      </c>
      <c r="N26" s="197">
        <v>43647</v>
      </c>
      <c r="O26" s="16">
        <v>45839</v>
      </c>
      <c r="P26" s="13">
        <v>797438.9</v>
      </c>
      <c r="Q26" s="242" t="e">
        <v>#VALUE!</v>
      </c>
    </row>
    <row r="27" spans="1:17" x14ac:dyDescent="0.2">
      <c r="A27" s="4" t="s">
        <v>53</v>
      </c>
      <c r="B27" s="13">
        <v>203184641.25</v>
      </c>
      <c r="C27" s="13">
        <v>185336003.09999999</v>
      </c>
      <c r="D27" s="13">
        <v>17848638.150000006</v>
      </c>
      <c r="E27" s="13">
        <v>9512423.3800000008</v>
      </c>
      <c r="F27" s="13">
        <v>5655134</v>
      </c>
      <c r="G27" s="14">
        <v>3.16</v>
      </c>
      <c r="H27" s="14">
        <v>1.68</v>
      </c>
      <c r="I27" s="13">
        <v>792701.94833333336</v>
      </c>
      <c r="J27" s="15">
        <v>6</v>
      </c>
      <c r="K27" s="13">
        <v>13092426.460000005</v>
      </c>
      <c r="L27" s="13">
        <v>1089728.3583333343</v>
      </c>
      <c r="M27" s="13" t="s">
        <v>192</v>
      </c>
      <c r="N27" s="197">
        <v>43647</v>
      </c>
      <c r="O27" s="16">
        <v>45839</v>
      </c>
      <c r="P27" s="13">
        <v>19529.43</v>
      </c>
      <c r="Q27" s="242" t="e">
        <v>#VALUE!</v>
      </c>
    </row>
    <row r="28" spans="1:17" x14ac:dyDescent="0.2">
      <c r="A28" s="4" t="s">
        <v>42</v>
      </c>
      <c r="B28" s="13">
        <v>355494147</v>
      </c>
      <c r="C28" s="13">
        <v>325942271.19</v>
      </c>
      <c r="D28" s="13">
        <v>29551875.810000002</v>
      </c>
      <c r="E28" s="13">
        <v>6410195.9299999997</v>
      </c>
      <c r="F28" s="13">
        <v>9435207</v>
      </c>
      <c r="G28" s="14">
        <v>3.13</v>
      </c>
      <c r="H28" s="14">
        <v>0.68</v>
      </c>
      <c r="I28" s="13">
        <v>534182.99416666664</v>
      </c>
      <c r="J28" s="15">
        <v>0</v>
      </c>
      <c r="K28" s="13">
        <v>29551875.810000002</v>
      </c>
      <c r="L28" s="13" t="s">
        <v>193</v>
      </c>
      <c r="M28" s="13" t="s">
        <v>193</v>
      </c>
      <c r="N28" s="197">
        <v>43831</v>
      </c>
      <c r="O28" s="16">
        <v>45658</v>
      </c>
      <c r="P28" s="13">
        <v>824038.24</v>
      </c>
      <c r="Q28" s="242" t="e">
        <v>#VALUE!</v>
      </c>
    </row>
    <row r="29" spans="1:17" x14ac:dyDescent="0.2">
      <c r="A29" s="4" t="s">
        <v>61</v>
      </c>
      <c r="B29" s="13">
        <v>535148479</v>
      </c>
      <c r="C29" s="13">
        <v>494871175.43000001</v>
      </c>
      <c r="D29" s="13">
        <v>40277303.569999993</v>
      </c>
      <c r="E29" s="13">
        <v>11291479.98</v>
      </c>
      <c r="F29" s="13">
        <v>13099382</v>
      </c>
      <c r="G29" s="14">
        <v>3.07</v>
      </c>
      <c r="H29" s="14">
        <v>0.86</v>
      </c>
      <c r="I29" s="13">
        <v>940956.66500000004</v>
      </c>
      <c r="J29" s="15">
        <v>6</v>
      </c>
      <c r="K29" s="13">
        <v>34631563.579999991</v>
      </c>
      <c r="L29" s="13">
        <v>2346423.2616666653</v>
      </c>
      <c r="M29" s="13">
        <v>1254808.0949999988</v>
      </c>
      <c r="N29" s="197">
        <v>43647</v>
      </c>
      <c r="O29" s="16">
        <v>45839</v>
      </c>
      <c r="P29" s="13">
        <v>869043.9</v>
      </c>
      <c r="Q29" s="242" t="e">
        <v>#VALUE!</v>
      </c>
    </row>
    <row r="30" spans="1:17" x14ac:dyDescent="0.2">
      <c r="A30" s="4" t="s">
        <v>43</v>
      </c>
      <c r="B30" s="13">
        <v>300531063.24000001</v>
      </c>
      <c r="C30" s="13">
        <v>280199540.94</v>
      </c>
      <c r="D30" s="13">
        <v>20331522.300000012</v>
      </c>
      <c r="E30" s="13">
        <v>7553611.9199999999</v>
      </c>
      <c r="F30" s="13">
        <v>6730317</v>
      </c>
      <c r="G30" s="14">
        <v>3.02</v>
      </c>
      <c r="H30" s="14">
        <v>1.1200000000000001</v>
      </c>
      <c r="I30" s="13">
        <v>629467.66</v>
      </c>
      <c r="J30" s="15">
        <v>6</v>
      </c>
      <c r="K30" s="13">
        <v>16554716.340000011</v>
      </c>
      <c r="L30" s="13">
        <v>1145148.0500000019</v>
      </c>
      <c r="M30" s="13" t="s">
        <v>192</v>
      </c>
      <c r="N30" s="197">
        <v>43647</v>
      </c>
      <c r="O30" s="16">
        <v>45839</v>
      </c>
      <c r="P30" s="13">
        <v>94343.1</v>
      </c>
      <c r="Q30" s="242" t="e">
        <v>#VALUE!</v>
      </c>
    </row>
    <row r="31" spans="1:17" x14ac:dyDescent="0.2">
      <c r="A31" s="4" t="s">
        <v>27</v>
      </c>
      <c r="B31" s="13">
        <v>1340428223.5599999</v>
      </c>
      <c r="C31" s="13">
        <v>1250847949.5999999</v>
      </c>
      <c r="D31" s="13">
        <v>89580273.960000038</v>
      </c>
      <c r="E31" s="13">
        <v>23581486.670000002</v>
      </c>
      <c r="F31" s="13">
        <v>30689455</v>
      </c>
      <c r="G31" s="14">
        <v>2.92</v>
      </c>
      <c r="H31" s="14">
        <v>0.77</v>
      </c>
      <c r="I31" s="13">
        <v>1965123.8891666669</v>
      </c>
      <c r="J31" s="15">
        <v>6</v>
      </c>
      <c r="K31" s="13">
        <v>77789530.62500003</v>
      </c>
      <c r="L31" s="13">
        <v>4700227.3266666727</v>
      </c>
      <c r="M31" s="13">
        <v>2142772.7433333397</v>
      </c>
      <c r="N31" s="197">
        <v>43647</v>
      </c>
      <c r="O31" s="16">
        <v>45839</v>
      </c>
      <c r="P31" s="13">
        <v>1574028.31</v>
      </c>
      <c r="Q31" s="242" t="e">
        <v>#VALUE!</v>
      </c>
    </row>
    <row r="32" spans="1:17" x14ac:dyDescent="0.2">
      <c r="A32" s="4" t="s">
        <v>18</v>
      </c>
      <c r="B32" s="13">
        <v>799406417.05999994</v>
      </c>
      <c r="C32" s="13">
        <v>748736496.94000006</v>
      </c>
      <c r="D32" s="13">
        <v>50669920.119999886</v>
      </c>
      <c r="E32" s="13">
        <v>24840683.84</v>
      </c>
      <c r="F32" s="13">
        <v>17480755</v>
      </c>
      <c r="G32" s="14">
        <v>2.9</v>
      </c>
      <c r="H32" s="14">
        <v>1.42</v>
      </c>
      <c r="I32" s="13">
        <v>2070056.9866666666</v>
      </c>
      <c r="J32" s="15">
        <v>6</v>
      </c>
      <c r="K32" s="13">
        <v>38249578.199999884</v>
      </c>
      <c r="L32" s="13">
        <v>2618068.3533333144</v>
      </c>
      <c r="M32" s="13" t="s">
        <v>192</v>
      </c>
      <c r="N32" s="197">
        <v>43647</v>
      </c>
      <c r="O32" s="16">
        <v>45839</v>
      </c>
      <c r="P32" s="13">
        <v>1492765.04</v>
      </c>
      <c r="Q32" s="242" t="e">
        <v>#VALUE!</v>
      </c>
    </row>
    <row r="33" spans="1:17" x14ac:dyDescent="0.2">
      <c r="A33" s="4" t="s">
        <v>57</v>
      </c>
      <c r="B33" s="13">
        <v>2950491414.54</v>
      </c>
      <c r="C33" s="13">
        <v>2743880303.6199999</v>
      </c>
      <c r="D33" s="13">
        <v>206611110.92000008</v>
      </c>
      <c r="E33" s="13">
        <v>76251398.609999999</v>
      </c>
      <c r="F33" s="13">
        <v>71178309</v>
      </c>
      <c r="G33" s="14">
        <v>2.9</v>
      </c>
      <c r="H33" s="14">
        <v>1.07</v>
      </c>
      <c r="I33" s="13">
        <v>6354283.2175000003</v>
      </c>
      <c r="J33" s="15">
        <v>8</v>
      </c>
      <c r="K33" s="13">
        <v>155776845.18000007</v>
      </c>
      <c r="L33" s="13">
        <v>8031811.6150000095</v>
      </c>
      <c r="M33" s="13" t="s">
        <v>192</v>
      </c>
      <c r="N33" s="197">
        <v>44075</v>
      </c>
      <c r="O33" s="16">
        <v>45901</v>
      </c>
      <c r="P33" s="13">
        <v>4845745.84</v>
      </c>
      <c r="Q33" s="242" t="e">
        <v>#VALUE!</v>
      </c>
    </row>
    <row r="34" spans="1:17" x14ac:dyDescent="0.2">
      <c r="A34" s="4" t="s">
        <v>41</v>
      </c>
      <c r="B34" s="13">
        <v>101611843</v>
      </c>
      <c r="C34" s="13">
        <v>93468778.920000002</v>
      </c>
      <c r="D34" s="13">
        <v>8143064.0799999982</v>
      </c>
      <c r="E34" s="13">
        <v>2200756.9900000002</v>
      </c>
      <c r="F34" s="13">
        <v>2910779</v>
      </c>
      <c r="G34" s="14">
        <v>2.8</v>
      </c>
      <c r="H34" s="14">
        <v>0.76</v>
      </c>
      <c r="I34" s="13">
        <v>183396.41583333336</v>
      </c>
      <c r="J34" s="15">
        <v>6</v>
      </c>
      <c r="K34" s="13">
        <v>7042685.5849999981</v>
      </c>
      <c r="L34" s="13">
        <v>386917.6799999997</v>
      </c>
      <c r="M34" s="13" t="s">
        <v>192</v>
      </c>
      <c r="N34" s="197">
        <v>43647</v>
      </c>
      <c r="O34" s="16">
        <v>45839</v>
      </c>
      <c r="P34" s="13">
        <v>295934.81</v>
      </c>
      <c r="Q34" s="242" t="e">
        <v>#VALUE!</v>
      </c>
    </row>
    <row r="35" spans="1:17" x14ac:dyDescent="0.2">
      <c r="A35" s="4" t="s">
        <v>20</v>
      </c>
      <c r="B35" s="13">
        <v>392596167.93000001</v>
      </c>
      <c r="C35" s="13">
        <v>366834751.37</v>
      </c>
      <c r="D35" s="13">
        <v>25761416.560000002</v>
      </c>
      <c r="E35" s="13">
        <v>12853126.550000001</v>
      </c>
      <c r="F35" s="13">
        <v>9305817</v>
      </c>
      <c r="G35" s="14">
        <v>2.77</v>
      </c>
      <c r="H35" s="14">
        <v>1.38</v>
      </c>
      <c r="I35" s="13">
        <v>1071093.8791666667</v>
      </c>
      <c r="J35" s="15">
        <v>3</v>
      </c>
      <c r="K35" s="13">
        <v>22548134.922500003</v>
      </c>
      <c r="L35" s="13">
        <v>2383260.853333334</v>
      </c>
      <c r="M35" s="13" t="s">
        <v>192</v>
      </c>
      <c r="N35" s="197">
        <v>43556</v>
      </c>
      <c r="O35" s="16">
        <v>45748</v>
      </c>
      <c r="P35" s="13">
        <v>268269.61</v>
      </c>
      <c r="Q35" s="242" t="e">
        <v>#VALUE!</v>
      </c>
    </row>
    <row r="36" spans="1:17" x14ac:dyDescent="0.2">
      <c r="A36" s="4" t="s">
        <v>25</v>
      </c>
      <c r="B36" s="13">
        <v>351543186.45999998</v>
      </c>
      <c r="C36" s="13">
        <v>327597223.81</v>
      </c>
      <c r="D36" s="13">
        <v>23945962.649999976</v>
      </c>
      <c r="E36" s="13">
        <v>7695879.7000000002</v>
      </c>
      <c r="F36" s="13">
        <v>8658249</v>
      </c>
      <c r="G36" s="14">
        <v>2.77</v>
      </c>
      <c r="H36" s="14">
        <v>0.89</v>
      </c>
      <c r="I36" s="13">
        <v>641323.30833333335</v>
      </c>
      <c r="J36" s="15">
        <v>3</v>
      </c>
      <c r="K36" s="13">
        <v>22021992.724999975</v>
      </c>
      <c r="L36" s="13">
        <v>2209821.5499999919</v>
      </c>
      <c r="M36" s="13">
        <v>766780.04999999201</v>
      </c>
      <c r="N36" s="197">
        <v>43556</v>
      </c>
      <c r="O36" s="16">
        <v>45748</v>
      </c>
      <c r="P36" s="13">
        <v>1442979.35</v>
      </c>
      <c r="Q36" s="242" t="e">
        <v>#VALUE!</v>
      </c>
    </row>
    <row r="37" spans="1:17" x14ac:dyDescent="0.2">
      <c r="A37" s="4" t="s">
        <v>34</v>
      </c>
      <c r="B37" s="13">
        <v>1428807757.99</v>
      </c>
      <c r="C37" s="13">
        <v>1337331760.26</v>
      </c>
      <c r="D37" s="13">
        <v>91475997.730000019</v>
      </c>
      <c r="E37" s="13">
        <v>45571019.810000002</v>
      </c>
      <c r="F37" s="13">
        <v>34424780</v>
      </c>
      <c r="G37" s="14">
        <v>2.66</v>
      </c>
      <c r="H37" s="14">
        <v>1.32</v>
      </c>
      <c r="I37" s="13">
        <v>3797584.9841666669</v>
      </c>
      <c r="J37" s="15">
        <v>3</v>
      </c>
      <c r="K37" s="13">
        <v>80083242.777500018</v>
      </c>
      <c r="L37" s="13">
        <v>7542145.9100000067</v>
      </c>
      <c r="M37" s="13" t="s">
        <v>192</v>
      </c>
      <c r="N37" s="197">
        <v>43922</v>
      </c>
      <c r="O37" s="16">
        <v>45748</v>
      </c>
      <c r="P37" s="13">
        <v>3124267.1</v>
      </c>
      <c r="Q37" s="242" t="e">
        <v>#VALUE!</v>
      </c>
    </row>
    <row r="38" spans="1:17" x14ac:dyDescent="0.2">
      <c r="A38" s="4" t="s">
        <v>59</v>
      </c>
      <c r="B38" s="13">
        <v>285086766</v>
      </c>
      <c r="C38" s="13">
        <v>265519456</v>
      </c>
      <c r="D38" s="13">
        <v>19567310</v>
      </c>
      <c r="E38" s="13">
        <v>8450243.9100000001</v>
      </c>
      <c r="F38" s="13">
        <v>7485780</v>
      </c>
      <c r="G38" s="14">
        <v>2.61</v>
      </c>
      <c r="H38" s="14">
        <v>1.1299999999999999</v>
      </c>
      <c r="I38" s="13">
        <v>704186.99250000005</v>
      </c>
      <c r="J38" s="15">
        <v>6</v>
      </c>
      <c r="K38" s="13">
        <v>15342188.045</v>
      </c>
      <c r="L38" s="13">
        <v>765958.33333333337</v>
      </c>
      <c r="M38" s="13" t="s">
        <v>192</v>
      </c>
      <c r="N38" s="197">
        <v>43647</v>
      </c>
      <c r="O38" s="16">
        <v>45839</v>
      </c>
      <c r="P38" s="13">
        <v>306413</v>
      </c>
      <c r="Q38" s="242" t="e">
        <v>#VALUE!</v>
      </c>
    </row>
    <row r="39" spans="1:17" x14ac:dyDescent="0.2">
      <c r="A39" s="4" t="s">
        <v>37</v>
      </c>
      <c r="B39" s="13">
        <v>1239388142.8299999</v>
      </c>
      <c r="C39" s="13">
        <v>1179099449.74</v>
      </c>
      <c r="D39" s="13">
        <v>60288693.089999914</v>
      </c>
      <c r="E39" s="13">
        <v>19213539.27</v>
      </c>
      <c r="F39" s="13">
        <v>24088947</v>
      </c>
      <c r="G39" s="14">
        <v>2.5</v>
      </c>
      <c r="H39" s="14">
        <v>0.8</v>
      </c>
      <c r="I39" s="13">
        <v>1601128.2725</v>
      </c>
      <c r="J39" s="15">
        <v>6</v>
      </c>
      <c r="K39" s="13">
        <v>50681923.454999916</v>
      </c>
      <c r="L39" s="13">
        <v>2018466.5149999857</v>
      </c>
      <c r="M39" s="13" t="s">
        <v>192</v>
      </c>
      <c r="N39" s="197">
        <v>43647</v>
      </c>
      <c r="O39" s="16">
        <v>45839</v>
      </c>
      <c r="P39" s="13">
        <v>1924014.17</v>
      </c>
      <c r="Q39" s="242" t="e">
        <v>#VALUE!</v>
      </c>
    </row>
    <row r="40" spans="1:17" x14ac:dyDescent="0.2">
      <c r="A40" s="4" t="s">
        <v>63</v>
      </c>
      <c r="B40" s="13">
        <v>1110426785</v>
      </c>
      <c r="C40" s="13">
        <v>1041803543.27</v>
      </c>
      <c r="D40" s="13">
        <v>68623241.730000019</v>
      </c>
      <c r="E40" s="13">
        <v>21312215.390000001</v>
      </c>
      <c r="F40" s="13">
        <v>27485501</v>
      </c>
      <c r="G40" s="14">
        <v>2.5</v>
      </c>
      <c r="H40" s="14">
        <v>0.78</v>
      </c>
      <c r="I40" s="13">
        <v>1776017.9491666667</v>
      </c>
      <c r="J40" s="15">
        <v>3</v>
      </c>
      <c r="K40" s="13">
        <v>63295187.882500023</v>
      </c>
      <c r="L40" s="13">
        <v>4550746.5766666727</v>
      </c>
      <c r="M40" s="13" t="s">
        <v>192</v>
      </c>
      <c r="N40" s="197">
        <v>43922</v>
      </c>
      <c r="O40" s="16">
        <v>45748</v>
      </c>
      <c r="P40" s="13">
        <v>0</v>
      </c>
      <c r="Q40" s="242" t="e">
        <v>#VALUE!</v>
      </c>
    </row>
    <row r="41" spans="1:17" x14ac:dyDescent="0.2">
      <c r="A41" s="4" t="s">
        <v>49</v>
      </c>
      <c r="B41" s="13">
        <v>699328036.19000006</v>
      </c>
      <c r="C41" s="13">
        <v>664588902.25</v>
      </c>
      <c r="D41" s="13">
        <v>34739133.940000057</v>
      </c>
      <c r="E41" s="13">
        <v>13720646.380000001</v>
      </c>
      <c r="F41" s="13">
        <v>14024709</v>
      </c>
      <c r="G41" s="14">
        <v>2.48</v>
      </c>
      <c r="H41" s="14">
        <v>0.98</v>
      </c>
      <c r="I41" s="13">
        <v>1143387.1983333335</v>
      </c>
      <c r="J41" s="15">
        <v>3</v>
      </c>
      <c r="K41" s="13">
        <v>31308972.345000058</v>
      </c>
      <c r="L41" s="13">
        <v>2229905.3133333526</v>
      </c>
      <c r="M41" s="13" t="s">
        <v>192</v>
      </c>
      <c r="N41" s="197">
        <v>43922</v>
      </c>
      <c r="O41" s="16">
        <v>45748</v>
      </c>
      <c r="P41" s="13">
        <v>989646.44</v>
      </c>
      <c r="Q41" s="242" t="e">
        <v>#VALUE!</v>
      </c>
    </row>
    <row r="42" spans="1:17" x14ac:dyDescent="0.2">
      <c r="A42" s="4" t="s">
        <v>48</v>
      </c>
      <c r="B42" s="13">
        <v>1985336227.8699999</v>
      </c>
      <c r="C42" s="13">
        <v>1874838623.05</v>
      </c>
      <c r="D42" s="13">
        <v>110497604.81999993</v>
      </c>
      <c r="E42" s="13">
        <v>41444505.899999999</v>
      </c>
      <c r="F42" s="13">
        <v>45588088</v>
      </c>
      <c r="G42" s="14">
        <v>2.42</v>
      </c>
      <c r="H42" s="14">
        <v>0.91</v>
      </c>
      <c r="I42" s="13">
        <v>3453708.8249999997</v>
      </c>
      <c r="J42" s="15">
        <v>6</v>
      </c>
      <c r="K42" s="13">
        <v>89775351.86999993</v>
      </c>
      <c r="L42" s="13" t="s">
        <v>192</v>
      </c>
      <c r="M42" s="13" t="s">
        <v>192</v>
      </c>
      <c r="N42" s="197">
        <v>43647</v>
      </c>
      <c r="O42" s="16">
        <v>45839</v>
      </c>
      <c r="P42" s="13">
        <v>4679675.38</v>
      </c>
      <c r="Q42" s="242" t="e">
        <v>#VALUE!</v>
      </c>
    </row>
    <row r="43" spans="1:17" x14ac:dyDescent="0.2">
      <c r="A43" s="4" t="s">
        <v>21</v>
      </c>
      <c r="B43" s="13">
        <v>528328839.02999997</v>
      </c>
      <c r="C43" s="13">
        <v>494821608.66000003</v>
      </c>
      <c r="D43" s="13">
        <v>33507230.369999945</v>
      </c>
      <c r="E43" s="13">
        <v>12678019.23</v>
      </c>
      <c r="F43" s="13">
        <v>13880022</v>
      </c>
      <c r="G43" s="14">
        <v>2.41</v>
      </c>
      <c r="H43" s="14">
        <v>0.91</v>
      </c>
      <c r="I43" s="13">
        <v>1056501.6025</v>
      </c>
      <c r="J43" s="15">
        <v>6</v>
      </c>
      <c r="K43" s="13">
        <v>27168220.754999943</v>
      </c>
      <c r="L43" s="13" t="s">
        <v>192</v>
      </c>
      <c r="M43" s="13" t="s">
        <v>192</v>
      </c>
      <c r="N43" s="197">
        <v>43647</v>
      </c>
      <c r="O43" s="16">
        <v>45839</v>
      </c>
      <c r="P43" s="13">
        <v>1667878.7</v>
      </c>
      <c r="Q43" s="242" t="e">
        <v>#VALUE!</v>
      </c>
    </row>
    <row r="44" spans="1:17" x14ac:dyDescent="0.2">
      <c r="A44" s="4" t="s">
        <v>33</v>
      </c>
      <c r="B44" s="13">
        <v>314446387.48000002</v>
      </c>
      <c r="C44" s="13">
        <v>295128391.16000003</v>
      </c>
      <c r="D44" s="13">
        <v>19317996.319999993</v>
      </c>
      <c r="E44" s="13">
        <v>9890319.3499999996</v>
      </c>
      <c r="F44" s="13">
        <v>8369791</v>
      </c>
      <c r="G44" s="14">
        <v>2.31</v>
      </c>
      <c r="H44" s="14">
        <v>1.18</v>
      </c>
      <c r="I44" s="13">
        <v>824193.27916666667</v>
      </c>
      <c r="J44" s="15">
        <v>6</v>
      </c>
      <c r="K44" s="13">
        <v>14372836.644999992</v>
      </c>
      <c r="L44" s="13" t="s">
        <v>192</v>
      </c>
      <c r="M44" s="13" t="s">
        <v>192</v>
      </c>
      <c r="N44" s="197">
        <v>43647</v>
      </c>
      <c r="O44" s="16">
        <v>45839</v>
      </c>
      <c r="P44" s="13">
        <v>1035494.9</v>
      </c>
      <c r="Q44" s="242" t="e">
        <v>#VALUE!</v>
      </c>
    </row>
    <row r="45" spans="1:17" x14ac:dyDescent="0.2">
      <c r="A45" s="4" t="s">
        <v>17</v>
      </c>
      <c r="B45" s="13">
        <v>398824318</v>
      </c>
      <c r="C45" s="13">
        <v>376874823.58999997</v>
      </c>
      <c r="D45" s="13">
        <v>21949494.410000026</v>
      </c>
      <c r="E45" s="13">
        <v>11464835.939999999</v>
      </c>
      <c r="F45" s="13">
        <v>9664284</v>
      </c>
      <c r="G45" s="14">
        <v>2.27</v>
      </c>
      <c r="H45" s="14">
        <v>1.19</v>
      </c>
      <c r="I45" s="13">
        <v>955402.995</v>
      </c>
      <c r="J45" s="15">
        <v>6</v>
      </c>
      <c r="K45" s="13">
        <v>16217076.440000027</v>
      </c>
      <c r="L45" s="13" t="s">
        <v>192</v>
      </c>
      <c r="M45" s="13" t="s">
        <v>192</v>
      </c>
      <c r="N45" s="197">
        <v>43647</v>
      </c>
      <c r="O45" s="16">
        <v>45839</v>
      </c>
      <c r="P45" s="13">
        <v>709799.36</v>
      </c>
      <c r="Q45" s="242" t="e">
        <v>#VALUE!</v>
      </c>
    </row>
    <row r="46" spans="1:17" x14ac:dyDescent="0.2">
      <c r="A46" s="4" t="s">
        <v>32</v>
      </c>
      <c r="B46" s="13">
        <v>509113932</v>
      </c>
      <c r="C46" s="13">
        <v>482380310.02999997</v>
      </c>
      <c r="D46" s="13">
        <v>26733621.970000029</v>
      </c>
      <c r="E46" s="13">
        <v>12248109.26</v>
      </c>
      <c r="F46" s="13">
        <v>11867952</v>
      </c>
      <c r="G46" s="14">
        <v>2.25</v>
      </c>
      <c r="H46" s="14">
        <v>1.03</v>
      </c>
      <c r="I46" s="13">
        <v>1020675.7716666666</v>
      </c>
      <c r="J46" s="15">
        <v>0</v>
      </c>
      <c r="K46" s="13">
        <v>26733621.970000029</v>
      </c>
      <c r="L46" s="13" t="s">
        <v>193</v>
      </c>
      <c r="M46" s="13" t="s">
        <v>192</v>
      </c>
      <c r="N46" s="197">
        <v>43831</v>
      </c>
      <c r="O46" s="16">
        <v>45658</v>
      </c>
      <c r="P46" s="13">
        <v>699289.44</v>
      </c>
      <c r="Q46" s="242" t="e">
        <v>#VALUE!</v>
      </c>
    </row>
    <row r="47" spans="1:17" x14ac:dyDescent="0.2">
      <c r="A47" s="4" t="s">
        <v>55</v>
      </c>
      <c r="B47" s="13">
        <v>254239457</v>
      </c>
      <c r="C47" s="13">
        <v>241505729.15000001</v>
      </c>
      <c r="D47" s="13">
        <v>12733727.849999994</v>
      </c>
      <c r="E47" s="13">
        <v>9140722.8800000008</v>
      </c>
      <c r="F47" s="13">
        <v>5680880</v>
      </c>
      <c r="G47" s="14">
        <v>2.2400000000000002</v>
      </c>
      <c r="H47" s="14">
        <v>1.61</v>
      </c>
      <c r="I47" s="13">
        <v>761726.90666666673</v>
      </c>
      <c r="J47" s="15">
        <v>0</v>
      </c>
      <c r="K47" s="13">
        <v>12733727.849999994</v>
      </c>
      <c r="L47" s="13" t="s">
        <v>193</v>
      </c>
      <c r="M47" s="13" t="s">
        <v>192</v>
      </c>
      <c r="N47" s="197">
        <v>43831</v>
      </c>
      <c r="O47" s="16">
        <v>45658</v>
      </c>
      <c r="P47" s="13">
        <v>1453479.92</v>
      </c>
      <c r="Q47" s="242" t="e">
        <v>#VALUE!</v>
      </c>
    </row>
    <row r="48" spans="1:17" x14ac:dyDescent="0.2">
      <c r="A48" s="4" t="s">
        <v>15</v>
      </c>
      <c r="B48" s="13">
        <v>1085275104.5</v>
      </c>
      <c r="C48" s="13">
        <v>1041888645.17</v>
      </c>
      <c r="D48" s="13">
        <v>43386459.330000043</v>
      </c>
      <c r="E48" s="13">
        <v>21829764.43</v>
      </c>
      <c r="F48" s="13">
        <v>22858857</v>
      </c>
      <c r="G48" s="14">
        <v>1.9</v>
      </c>
      <c r="H48" s="14">
        <v>0.95</v>
      </c>
      <c r="I48" s="13">
        <v>1819147.0358333334</v>
      </c>
      <c r="J48" s="15">
        <v>3</v>
      </c>
      <c r="K48" s="13">
        <v>37929018.222500041</v>
      </c>
      <c r="L48" s="13" t="s">
        <v>192</v>
      </c>
      <c r="M48" s="13" t="s">
        <v>192</v>
      </c>
      <c r="N48" s="197">
        <v>43556</v>
      </c>
      <c r="O48" s="16">
        <v>45748</v>
      </c>
      <c r="P48" s="13">
        <v>2641071.08</v>
      </c>
      <c r="Q48" s="242" t="e">
        <v>#VALUE!</v>
      </c>
    </row>
    <row r="49" spans="1:17" x14ac:dyDescent="0.2">
      <c r="A49" s="4" t="s">
        <v>31</v>
      </c>
      <c r="B49" s="13">
        <v>1205115490</v>
      </c>
      <c r="C49" s="13">
        <v>1164147039.8900001</v>
      </c>
      <c r="D49" s="13">
        <v>40968450.109999895</v>
      </c>
      <c r="E49" s="13">
        <v>22542857.91</v>
      </c>
      <c r="F49" s="13">
        <v>22499042</v>
      </c>
      <c r="G49" s="14">
        <v>1.82</v>
      </c>
      <c r="H49" s="14">
        <v>1</v>
      </c>
      <c r="I49" s="13">
        <v>1878571.4924999999</v>
      </c>
      <c r="J49" s="15">
        <v>3</v>
      </c>
      <c r="K49" s="13">
        <v>35332735.632499896</v>
      </c>
      <c r="L49" s="13" t="s">
        <v>192</v>
      </c>
      <c r="M49" s="13" t="s">
        <v>192</v>
      </c>
      <c r="N49" s="197">
        <v>43922</v>
      </c>
      <c r="O49" s="16">
        <v>45748</v>
      </c>
      <c r="P49" s="13">
        <v>3284177.16</v>
      </c>
      <c r="Q49" s="242" t="e">
        <v>#VALUE!</v>
      </c>
    </row>
    <row r="50" spans="1:17" x14ac:dyDescent="0.2">
      <c r="A50" s="4" t="s">
        <v>50</v>
      </c>
      <c r="B50" s="13">
        <v>545409679.30999994</v>
      </c>
      <c r="C50" s="13">
        <v>527559611.95999998</v>
      </c>
      <c r="D50" s="13">
        <v>17850067.349999964</v>
      </c>
      <c r="E50" s="13">
        <v>15486387.65</v>
      </c>
      <c r="F50" s="13">
        <v>11656242</v>
      </c>
      <c r="G50" s="14">
        <v>1.53</v>
      </c>
      <c r="H50" s="14">
        <v>1.33</v>
      </c>
      <c r="I50" s="13">
        <v>1290532.3041666667</v>
      </c>
      <c r="J50" s="15">
        <v>0</v>
      </c>
      <c r="K50" s="13">
        <v>17850067.349999964</v>
      </c>
      <c r="L50" s="13" t="s">
        <v>192</v>
      </c>
      <c r="M50" s="13" t="s">
        <v>192</v>
      </c>
      <c r="N50" s="197">
        <v>43831</v>
      </c>
      <c r="O50" s="16">
        <v>45658</v>
      </c>
      <c r="P50" s="13">
        <v>3790532.25</v>
      </c>
      <c r="Q50" s="242" t="e">
        <v>#VALUE!</v>
      </c>
    </row>
    <row r="51" spans="1:17" x14ac:dyDescent="0.2">
      <c r="A51" s="4" t="s">
        <v>58</v>
      </c>
      <c r="B51" s="13">
        <v>238203233</v>
      </c>
      <c r="C51" s="13">
        <v>233443786.21000001</v>
      </c>
      <c r="D51" s="13">
        <v>4759446.7899999917</v>
      </c>
      <c r="E51" s="13">
        <v>6678767.4299999997</v>
      </c>
      <c r="F51" s="13">
        <v>5501208</v>
      </c>
      <c r="G51" s="14">
        <v>0.87</v>
      </c>
      <c r="H51" s="14">
        <v>1.21</v>
      </c>
      <c r="I51" s="13">
        <v>556563.95250000001</v>
      </c>
      <c r="J51" s="15">
        <v>6</v>
      </c>
      <c r="K51" s="13">
        <v>1420063.0749999918</v>
      </c>
      <c r="L51" s="13" t="s">
        <v>192</v>
      </c>
      <c r="M51" s="13" t="s">
        <v>192</v>
      </c>
      <c r="N51" s="197">
        <v>43647</v>
      </c>
      <c r="O51" s="16">
        <v>45839</v>
      </c>
      <c r="P51" s="13">
        <v>0</v>
      </c>
      <c r="Q51" s="242" t="e">
        <v>#VALUE!</v>
      </c>
    </row>
    <row r="52" spans="1:17" x14ac:dyDescent="0.2">
      <c r="A52" s="4" t="s">
        <v>22</v>
      </c>
      <c r="B52" s="13">
        <v>75470621</v>
      </c>
      <c r="C52" s="13">
        <v>73606519.829999998</v>
      </c>
      <c r="D52" s="18">
        <v>1864101.1700000018</v>
      </c>
      <c r="E52" s="13">
        <v>2488748.89</v>
      </c>
      <c r="F52" s="13">
        <v>2752623</v>
      </c>
      <c r="G52" s="14">
        <v>0.68</v>
      </c>
      <c r="H52" s="14">
        <v>0.9</v>
      </c>
      <c r="I52" s="18">
        <v>207395.74083333334</v>
      </c>
      <c r="J52" s="15">
        <v>6</v>
      </c>
      <c r="K52" s="18">
        <v>619726.72500000172</v>
      </c>
      <c r="L52" s="18" t="s">
        <v>192</v>
      </c>
      <c r="M52" s="18" t="s">
        <v>192</v>
      </c>
      <c r="N52" s="198">
        <v>43647</v>
      </c>
      <c r="O52" s="16">
        <v>45839</v>
      </c>
      <c r="P52" s="13">
        <v>1998.21</v>
      </c>
      <c r="Q52" s="242" t="e">
        <v>#VALUE!</v>
      </c>
    </row>
    <row r="53" spans="1:17" x14ac:dyDescent="0.25">
      <c r="A53" s="36" t="s">
        <v>65</v>
      </c>
      <c r="B53" s="33">
        <v>43808641242.440002</v>
      </c>
      <c r="C53" s="13">
        <v>40401598766.43</v>
      </c>
      <c r="D53" s="33">
        <v>3407042476.0100021</v>
      </c>
      <c r="E53" s="13">
        <v>962647843.07000005</v>
      </c>
      <c r="F53" s="13">
        <v>983528971</v>
      </c>
      <c r="G53" s="14">
        <v>3.46</v>
      </c>
      <c r="H53" s="14">
        <v>0.98</v>
      </c>
      <c r="I53" s="33">
        <v>80220653.589166671</v>
      </c>
      <c r="J53" s="34"/>
      <c r="K53" s="35"/>
      <c r="L53" s="35"/>
      <c r="M53" s="35"/>
      <c r="N53" s="35"/>
      <c r="O53" s="35"/>
      <c r="P53" s="33">
        <v>94956290.37000002</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36</v>
      </c>
      <c r="H56" s="25"/>
    </row>
    <row r="57" spans="1:17" ht="27" customHeight="1" thickBot="1" x14ac:dyDescent="0.3">
      <c r="D57" s="248" t="s">
        <v>67</v>
      </c>
      <c r="E57" s="249"/>
      <c r="F57" s="249"/>
      <c r="G57" s="27"/>
      <c r="H57" s="28">
        <v>30</v>
      </c>
    </row>
  </sheetData>
  <mergeCells count="2">
    <mergeCell ref="D56:F56"/>
    <mergeCell ref="D57:F57"/>
  </mergeCells>
  <conditionalFormatting sqref="G54">
    <cfRule type="cellIs" dxfId="251" priority="13" stopIfTrue="1" operator="greaterThan">
      <formula>2.5</formula>
    </cfRule>
    <cfRule type="cellIs" dxfId="250" priority="14" stopIfTrue="1" operator="between">
      <formula>2.01</formula>
      <formula>2.5</formula>
    </cfRule>
  </conditionalFormatting>
  <conditionalFormatting sqref="H3:H53">
    <cfRule type="cellIs" dxfId="249" priority="12" stopIfTrue="1" operator="lessThan">
      <formula>1</formula>
    </cfRule>
  </conditionalFormatting>
  <conditionalFormatting sqref="G3:G53">
    <cfRule type="cellIs" dxfId="248" priority="10" stopIfTrue="1" operator="greaterThan">
      <formula>2.5</formula>
    </cfRule>
    <cfRule type="cellIs" dxfId="247" priority="11" stopIfTrue="1" operator="between">
      <formula>2.01</formula>
      <formula>2.5</formula>
    </cfRule>
  </conditionalFormatting>
  <conditionalFormatting sqref="K3:K52">
    <cfRule type="cellIs" dxfId="246" priority="8" stopIfTrue="1" operator="greaterThan">
      <formula>$F3*2.5</formula>
    </cfRule>
    <cfRule type="cellIs" dxfId="245" priority="9" stopIfTrue="1" operator="between">
      <formula>$F3*2</formula>
      <formula>$F3*2.5</formula>
    </cfRule>
  </conditionalFormatting>
  <conditionalFormatting sqref="G54">
    <cfRule type="cellIs" dxfId="244" priority="6" stopIfTrue="1" operator="greaterThan">
      <formula>2.5</formula>
    </cfRule>
    <cfRule type="cellIs" dxfId="243" priority="7" stopIfTrue="1" operator="between">
      <formula>2.01</formula>
      <formula>2.5</formula>
    </cfRule>
  </conditionalFormatting>
  <conditionalFormatting sqref="H3:H53">
    <cfRule type="cellIs" dxfId="242" priority="5" stopIfTrue="1" operator="lessThan">
      <formula>1</formula>
    </cfRule>
  </conditionalFormatting>
  <conditionalFormatting sqref="G3:G53">
    <cfRule type="cellIs" dxfId="241" priority="3" stopIfTrue="1" operator="greaterThan">
      <formula>2.5</formula>
    </cfRule>
    <cfRule type="cellIs" dxfId="240" priority="4" stopIfTrue="1" operator="between">
      <formula>2.01</formula>
      <formula>2.5</formula>
    </cfRule>
  </conditionalFormatting>
  <conditionalFormatting sqref="K3:K52">
    <cfRule type="cellIs" dxfId="239" priority="1" stopIfTrue="1" operator="greaterThan">
      <formula>$F3*2.5</formula>
    </cfRule>
    <cfRule type="cellIs" dxfId="238"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20B43-670F-41CD-947F-28E78CD169D4}">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287</v>
      </c>
      <c r="B1" s="196" t="s">
        <v>288</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62</v>
      </c>
      <c r="B3" s="13">
        <v>722479384.32000005</v>
      </c>
      <c r="C3" s="13">
        <v>643463157.85000002</v>
      </c>
      <c r="D3" s="13">
        <v>79016226.470000029</v>
      </c>
      <c r="E3" s="13">
        <v>12711212.91</v>
      </c>
      <c r="F3" s="13">
        <v>13783001</v>
      </c>
      <c r="G3" s="14">
        <v>5.73</v>
      </c>
      <c r="H3" s="14">
        <v>0.92</v>
      </c>
      <c r="I3" s="13">
        <v>1059267.7424999999</v>
      </c>
      <c r="J3" s="15">
        <v>5</v>
      </c>
      <c r="K3" s="13">
        <v>73719887.757500023</v>
      </c>
      <c r="L3" s="13">
        <v>10290044.894000005</v>
      </c>
      <c r="M3" s="13">
        <v>8911744.7940000053</v>
      </c>
      <c r="N3" s="197">
        <v>43647</v>
      </c>
      <c r="O3" s="16">
        <v>45839</v>
      </c>
      <c r="P3" s="13">
        <v>601731.28</v>
      </c>
      <c r="Q3" s="243" t="e">
        <v>#VALUE!</v>
      </c>
    </row>
    <row r="4" spans="1:17" x14ac:dyDescent="0.2">
      <c r="A4" s="4" t="s">
        <v>46</v>
      </c>
      <c r="B4" s="13">
        <v>1834758280.3599999</v>
      </c>
      <c r="C4" s="13">
        <v>1572285906.76</v>
      </c>
      <c r="D4" s="13">
        <v>262472373.5999999</v>
      </c>
      <c r="E4" s="13">
        <v>45287669.140000001</v>
      </c>
      <c r="F4" s="13">
        <v>46162390</v>
      </c>
      <c r="G4" s="14">
        <v>5.69</v>
      </c>
      <c r="H4" s="14">
        <v>0.98</v>
      </c>
      <c r="I4" s="13">
        <v>3773972.4283333332</v>
      </c>
      <c r="J4" s="15">
        <v>-1</v>
      </c>
      <c r="K4" s="13" t="s">
        <v>193</v>
      </c>
      <c r="L4" s="13" t="s">
        <v>193</v>
      </c>
      <c r="M4" s="13" t="s">
        <v>193</v>
      </c>
      <c r="N4" s="197">
        <v>43831</v>
      </c>
      <c r="O4" s="16">
        <v>45658</v>
      </c>
      <c r="P4" s="13">
        <v>2686741.81</v>
      </c>
      <c r="Q4" s="242" t="e">
        <v>#VALUE!</v>
      </c>
    </row>
    <row r="5" spans="1:17" x14ac:dyDescent="0.2">
      <c r="A5" s="4" t="s">
        <v>35</v>
      </c>
      <c r="B5" s="13">
        <v>1503333344.97</v>
      </c>
      <c r="C5" s="13">
        <v>1312666551.1199999</v>
      </c>
      <c r="D5" s="13">
        <v>190666793.85000014</v>
      </c>
      <c r="E5" s="13">
        <v>19852282.739999998</v>
      </c>
      <c r="F5" s="13">
        <v>34090474</v>
      </c>
      <c r="G5" s="14">
        <v>5.59</v>
      </c>
      <c r="H5" s="14">
        <v>0.57999999999999996</v>
      </c>
      <c r="I5" s="13">
        <v>1654356.8949999998</v>
      </c>
      <c r="J5" s="15">
        <v>5</v>
      </c>
      <c r="K5" s="13">
        <v>182395009.37500015</v>
      </c>
      <c r="L5" s="13">
        <v>24497169.170000028</v>
      </c>
      <c r="M5" s="13">
        <v>21088121.770000029</v>
      </c>
      <c r="N5" s="197">
        <v>43647</v>
      </c>
      <c r="O5" s="16">
        <v>45839</v>
      </c>
      <c r="P5" s="13">
        <v>25991.71</v>
      </c>
      <c r="Q5" s="242" t="e">
        <v>#VALUE!</v>
      </c>
    </row>
    <row r="6" spans="1:17" x14ac:dyDescent="0.2">
      <c r="A6" s="4" t="s">
        <v>23</v>
      </c>
      <c r="B6" s="13">
        <v>1137390436.8499999</v>
      </c>
      <c r="C6" s="13">
        <v>1007312051.98</v>
      </c>
      <c r="D6" s="13">
        <v>130078384.86999989</v>
      </c>
      <c r="E6" s="13">
        <v>25355082.030000001</v>
      </c>
      <c r="F6" s="13">
        <v>24778539</v>
      </c>
      <c r="G6" s="14">
        <v>5.25</v>
      </c>
      <c r="H6" s="14">
        <v>1.02</v>
      </c>
      <c r="I6" s="13">
        <v>2112923.5024999999</v>
      </c>
      <c r="J6" s="15">
        <v>5</v>
      </c>
      <c r="K6" s="13">
        <v>119513767.35749988</v>
      </c>
      <c r="L6" s="13">
        <v>16104261.373999977</v>
      </c>
      <c r="M6" s="13">
        <v>13626407.473999977</v>
      </c>
      <c r="N6" s="197">
        <v>43647</v>
      </c>
      <c r="O6" s="16">
        <v>45839</v>
      </c>
      <c r="P6" s="13">
        <v>1334304.33</v>
      </c>
      <c r="Q6" s="242" t="e">
        <v>#VALUE!</v>
      </c>
    </row>
    <row r="7" spans="1:17" x14ac:dyDescent="0.2">
      <c r="A7" s="4" t="s">
        <v>64</v>
      </c>
      <c r="B7" s="13">
        <v>124445693.39</v>
      </c>
      <c r="C7" s="13">
        <v>107673097.18000001</v>
      </c>
      <c r="D7" s="13">
        <v>16772596.209999993</v>
      </c>
      <c r="E7" s="13">
        <v>3348623.63</v>
      </c>
      <c r="F7" s="13">
        <v>3545933</v>
      </c>
      <c r="G7" s="14">
        <v>4.7300000000000004</v>
      </c>
      <c r="H7" s="14">
        <v>0.94</v>
      </c>
      <c r="I7" s="13">
        <v>279051.96916666668</v>
      </c>
      <c r="J7" s="15">
        <v>-1</v>
      </c>
      <c r="K7" s="13" t="s">
        <v>193</v>
      </c>
      <c r="L7" s="13" t="s">
        <v>193</v>
      </c>
      <c r="M7" s="13" t="s">
        <v>193</v>
      </c>
      <c r="N7" s="197">
        <v>43831</v>
      </c>
      <c r="O7" s="16">
        <v>45658</v>
      </c>
      <c r="P7" s="13">
        <v>1065592.3400000001</v>
      </c>
      <c r="Q7" s="242" t="e">
        <v>#VALUE!</v>
      </c>
    </row>
    <row r="8" spans="1:17" x14ac:dyDescent="0.2">
      <c r="A8" s="4" t="s">
        <v>30</v>
      </c>
      <c r="B8" s="13">
        <v>1194130799.73</v>
      </c>
      <c r="C8" s="13">
        <v>1078285458.51</v>
      </c>
      <c r="D8" s="13">
        <v>115845341.22000003</v>
      </c>
      <c r="E8" s="13">
        <v>21237884.620000001</v>
      </c>
      <c r="F8" s="13">
        <v>25988523</v>
      </c>
      <c r="G8" s="14">
        <v>4.46</v>
      </c>
      <c r="H8" s="14">
        <v>0.82</v>
      </c>
      <c r="I8" s="13">
        <v>1769823.7183333335</v>
      </c>
      <c r="J8" s="15">
        <v>5</v>
      </c>
      <c r="K8" s="13">
        <v>106996222.62833336</v>
      </c>
      <c r="L8" s="13">
        <v>12773659.044000005</v>
      </c>
      <c r="M8" s="13">
        <v>10174806.744000006</v>
      </c>
      <c r="N8" s="197">
        <v>43647</v>
      </c>
      <c r="O8" s="16">
        <v>45839</v>
      </c>
      <c r="P8" s="13">
        <v>2621259</v>
      </c>
      <c r="Q8" s="242" t="e">
        <v>#VALUE!</v>
      </c>
    </row>
    <row r="9" spans="1:17" x14ac:dyDescent="0.2">
      <c r="A9" s="4" t="s">
        <v>47</v>
      </c>
      <c r="B9" s="13">
        <v>190999038.36000001</v>
      </c>
      <c r="C9" s="13">
        <v>175212672.81999999</v>
      </c>
      <c r="D9" s="13">
        <v>15786365.540000021</v>
      </c>
      <c r="E9" s="13">
        <v>3459160.48</v>
      </c>
      <c r="F9" s="13">
        <v>3551615</v>
      </c>
      <c r="G9" s="14">
        <v>4.4400000000000004</v>
      </c>
      <c r="H9" s="14">
        <v>0.97</v>
      </c>
      <c r="I9" s="13">
        <v>288263.37333333335</v>
      </c>
      <c r="J9" s="15">
        <v>5</v>
      </c>
      <c r="K9" s="13">
        <v>14345048.673333354</v>
      </c>
      <c r="L9" s="13">
        <v>1736627.1080000042</v>
      </c>
      <c r="M9" s="13">
        <v>1381465.6080000042</v>
      </c>
      <c r="N9" s="197">
        <v>43647</v>
      </c>
      <c r="O9" s="16">
        <v>45839</v>
      </c>
      <c r="P9" s="13">
        <v>0</v>
      </c>
      <c r="Q9" s="242" t="e">
        <v>#VALUE!</v>
      </c>
    </row>
    <row r="10" spans="1:17" x14ac:dyDescent="0.2">
      <c r="A10" s="4" t="s">
        <v>36</v>
      </c>
      <c r="B10" s="13">
        <v>872347192</v>
      </c>
      <c r="C10" s="13">
        <v>788158717.65999997</v>
      </c>
      <c r="D10" s="13">
        <v>84188474.340000033</v>
      </c>
      <c r="E10" s="13">
        <v>16072389.33</v>
      </c>
      <c r="F10" s="13">
        <v>19090913</v>
      </c>
      <c r="G10" s="14">
        <v>4.41</v>
      </c>
      <c r="H10" s="14">
        <v>0.84</v>
      </c>
      <c r="I10" s="13">
        <v>1339365.7775000001</v>
      </c>
      <c r="J10" s="15">
        <v>8</v>
      </c>
      <c r="K10" s="13">
        <v>73473548.120000035</v>
      </c>
      <c r="L10" s="13">
        <v>5750831.0425000042</v>
      </c>
      <c r="M10" s="13">
        <v>4557648.9800000042</v>
      </c>
      <c r="N10" s="197">
        <v>43739</v>
      </c>
      <c r="O10" s="16">
        <v>45931</v>
      </c>
      <c r="P10" s="13">
        <v>2340844.39</v>
      </c>
      <c r="Q10" s="242" t="e">
        <v>#VALUE!</v>
      </c>
    </row>
    <row r="11" spans="1:17" x14ac:dyDescent="0.2">
      <c r="A11" s="4" t="s">
        <v>52</v>
      </c>
      <c r="B11" s="13">
        <v>1966895481</v>
      </c>
      <c r="C11" s="13">
        <v>1871141094.9000001</v>
      </c>
      <c r="D11" s="13">
        <v>95754386.099999905</v>
      </c>
      <c r="E11" s="13">
        <v>21910996.899999999</v>
      </c>
      <c r="F11" s="13">
        <v>21788490</v>
      </c>
      <c r="G11" s="14">
        <v>4.3899999999999997</v>
      </c>
      <c r="H11" s="14">
        <v>1.01</v>
      </c>
      <c r="I11" s="13">
        <v>1825916.4083333332</v>
      </c>
      <c r="J11" s="15">
        <v>5</v>
      </c>
      <c r="K11" s="13">
        <v>86624804.058333233</v>
      </c>
      <c r="L11" s="13">
        <v>10435481.21999998</v>
      </c>
      <c r="M11" s="13">
        <v>8256632.2199999811</v>
      </c>
      <c r="N11" s="197">
        <v>43647</v>
      </c>
      <c r="O11" s="16">
        <v>45839</v>
      </c>
      <c r="P11" s="13">
        <v>1090554.5</v>
      </c>
      <c r="Q11" s="242" t="e">
        <v>#VALUE!</v>
      </c>
    </row>
    <row r="12" spans="1:17" x14ac:dyDescent="0.2">
      <c r="A12" s="4" t="s">
        <v>40</v>
      </c>
      <c r="B12" s="13">
        <v>511163315.91000003</v>
      </c>
      <c r="C12" s="13">
        <v>464796363.10000002</v>
      </c>
      <c r="D12" s="13">
        <v>46366952.810000002</v>
      </c>
      <c r="E12" s="13">
        <v>4795025.41</v>
      </c>
      <c r="F12" s="13">
        <v>10598087</v>
      </c>
      <c r="G12" s="14">
        <v>4.38</v>
      </c>
      <c r="H12" s="14">
        <v>0.45</v>
      </c>
      <c r="I12" s="13">
        <v>399585.45083333337</v>
      </c>
      <c r="J12" s="15">
        <v>5</v>
      </c>
      <c r="K12" s="13">
        <v>44369025.555833332</v>
      </c>
      <c r="L12" s="13">
        <v>5034155.7620000001</v>
      </c>
      <c r="M12" s="13">
        <v>3974347.0620000004</v>
      </c>
      <c r="N12" s="197">
        <v>43647</v>
      </c>
      <c r="O12" s="16">
        <v>45839</v>
      </c>
      <c r="P12" s="13">
        <v>530550.91</v>
      </c>
      <c r="Q12" s="242" t="e">
        <v>#VALUE!</v>
      </c>
    </row>
    <row r="13" spans="1:17" x14ac:dyDescent="0.2">
      <c r="A13" s="4" t="s">
        <v>60</v>
      </c>
      <c r="B13" s="13">
        <v>813673223</v>
      </c>
      <c r="C13" s="13">
        <v>729951412.74000001</v>
      </c>
      <c r="D13" s="13">
        <v>83721810.25999999</v>
      </c>
      <c r="E13" s="13">
        <v>13173011.83</v>
      </c>
      <c r="F13" s="13">
        <v>19453948</v>
      </c>
      <c r="G13" s="14">
        <v>4.3</v>
      </c>
      <c r="H13" s="14">
        <v>0.68</v>
      </c>
      <c r="I13" s="13">
        <v>1097750.9858333333</v>
      </c>
      <c r="J13" s="15">
        <v>5</v>
      </c>
      <c r="K13" s="13">
        <v>78233055.330833316</v>
      </c>
      <c r="L13" s="13">
        <v>8962782.8519999981</v>
      </c>
      <c r="M13" s="13">
        <v>7017388.0519999983</v>
      </c>
      <c r="N13" s="197">
        <v>43647</v>
      </c>
      <c r="O13" s="16">
        <v>45839</v>
      </c>
      <c r="P13" s="13">
        <v>459603.63</v>
      </c>
      <c r="Q13" s="242" t="e">
        <v>#VALUE!</v>
      </c>
    </row>
    <row r="14" spans="1:17" x14ac:dyDescent="0.2">
      <c r="A14" s="4" t="s">
        <v>16</v>
      </c>
      <c r="B14" s="13">
        <v>107063879</v>
      </c>
      <c r="C14" s="13">
        <v>95688010.349999994</v>
      </c>
      <c r="D14" s="13">
        <v>11375868.650000006</v>
      </c>
      <c r="E14" s="13">
        <v>1111309.4099999999</v>
      </c>
      <c r="F14" s="13">
        <v>2669761</v>
      </c>
      <c r="G14" s="14">
        <v>4.26</v>
      </c>
      <c r="H14" s="14">
        <v>0.42</v>
      </c>
      <c r="I14" s="13">
        <v>92609.117499999993</v>
      </c>
      <c r="J14" s="15">
        <v>5</v>
      </c>
      <c r="K14" s="13">
        <v>10912823.062500006</v>
      </c>
      <c r="L14" s="13">
        <v>1207269.3300000012</v>
      </c>
      <c r="M14" s="13">
        <v>940293.23000000115</v>
      </c>
      <c r="N14" s="197">
        <v>43647</v>
      </c>
      <c r="O14" s="16">
        <v>45839</v>
      </c>
      <c r="P14" s="13">
        <v>10567.8</v>
      </c>
      <c r="Q14" s="242" t="e">
        <v>#VALUE!</v>
      </c>
    </row>
    <row r="15" spans="1:17" x14ac:dyDescent="0.2">
      <c r="A15" s="4" t="s">
        <v>19</v>
      </c>
      <c r="B15" s="13">
        <v>1468177330.9100001</v>
      </c>
      <c r="C15" s="13">
        <v>1346049805.8099999</v>
      </c>
      <c r="D15" s="13">
        <v>122127525.10000014</v>
      </c>
      <c r="E15" s="13">
        <v>36031543.520000003</v>
      </c>
      <c r="F15" s="13">
        <v>29748591</v>
      </c>
      <c r="G15" s="14">
        <v>4.1100000000000003</v>
      </c>
      <c r="H15" s="14">
        <v>1.21</v>
      </c>
      <c r="I15" s="13">
        <v>3002628.6266666669</v>
      </c>
      <c r="J15" s="15">
        <v>5</v>
      </c>
      <c r="K15" s="13">
        <v>107114381.9666668</v>
      </c>
      <c r="L15" s="13">
        <v>12526068.620000029</v>
      </c>
      <c r="M15" s="13">
        <v>9551209.5200000294</v>
      </c>
      <c r="N15" s="197">
        <v>43647</v>
      </c>
      <c r="O15" s="16">
        <v>45839</v>
      </c>
      <c r="P15" s="13">
        <v>5477702.2699999996</v>
      </c>
      <c r="Q15" s="242" t="e">
        <v>#VALUE!</v>
      </c>
    </row>
    <row r="16" spans="1:17" x14ac:dyDescent="0.2">
      <c r="A16" s="4" t="s">
        <v>54</v>
      </c>
      <c r="B16" s="13">
        <v>1042589157.45</v>
      </c>
      <c r="C16" s="13">
        <v>964715701.20000005</v>
      </c>
      <c r="D16" s="13">
        <v>77873456.25</v>
      </c>
      <c r="E16" s="13">
        <v>23442037.34</v>
      </c>
      <c r="F16" s="13">
        <v>20158365</v>
      </c>
      <c r="G16" s="14">
        <v>3.86</v>
      </c>
      <c r="H16" s="14">
        <v>1.1599999999999999</v>
      </c>
      <c r="I16" s="13">
        <v>1953503.1116666666</v>
      </c>
      <c r="J16" s="15">
        <v>2</v>
      </c>
      <c r="K16" s="13">
        <v>73966450.026666671</v>
      </c>
      <c r="L16" s="13">
        <v>18778363.125</v>
      </c>
      <c r="M16" s="13">
        <v>13738771.875</v>
      </c>
      <c r="N16" s="197">
        <v>43922</v>
      </c>
      <c r="O16" s="16">
        <v>45748</v>
      </c>
      <c r="P16" s="13">
        <v>1120633</v>
      </c>
      <c r="Q16" s="242" t="e">
        <v>#VALUE!</v>
      </c>
    </row>
    <row r="17" spans="1:17" x14ac:dyDescent="0.2">
      <c r="A17" s="4" t="s">
        <v>38</v>
      </c>
      <c r="B17" s="13">
        <v>1033187132</v>
      </c>
      <c r="C17" s="13">
        <v>948872130.80999994</v>
      </c>
      <c r="D17" s="13">
        <v>84315001.190000057</v>
      </c>
      <c r="E17" s="13">
        <v>24391240.100000001</v>
      </c>
      <c r="F17" s="13">
        <v>22862412</v>
      </c>
      <c r="G17" s="14">
        <v>3.69</v>
      </c>
      <c r="H17" s="14">
        <v>1.07</v>
      </c>
      <c r="I17" s="13">
        <v>2032603.3416666668</v>
      </c>
      <c r="J17" s="15">
        <v>2</v>
      </c>
      <c r="K17" s="13">
        <v>80249794.50666672</v>
      </c>
      <c r="L17" s="13">
        <v>19295088.595000029</v>
      </c>
      <c r="M17" s="13">
        <v>13579485.595000029</v>
      </c>
      <c r="N17" s="197">
        <v>43922</v>
      </c>
      <c r="O17" s="16">
        <v>45748</v>
      </c>
      <c r="P17" s="13">
        <v>2228750.83</v>
      </c>
      <c r="Q17" s="242" t="e">
        <v>#VALUE!</v>
      </c>
    </row>
    <row r="18" spans="1:17" x14ac:dyDescent="0.2">
      <c r="A18" s="4" t="s">
        <v>26</v>
      </c>
      <c r="B18" s="13">
        <v>1336269126.0599999</v>
      </c>
      <c r="C18" s="13">
        <v>1229771657.3299999</v>
      </c>
      <c r="D18" s="13">
        <v>106497468.73000002</v>
      </c>
      <c r="E18" s="13">
        <v>48682921.689999998</v>
      </c>
      <c r="F18" s="13">
        <v>29074134</v>
      </c>
      <c r="G18" s="14">
        <v>3.66</v>
      </c>
      <c r="H18" s="14">
        <v>1.67</v>
      </c>
      <c r="I18" s="13">
        <v>4056910.1408333331</v>
      </c>
      <c r="J18" s="15">
        <v>-1</v>
      </c>
      <c r="K18" s="13" t="s">
        <v>193</v>
      </c>
      <c r="L18" s="13" t="s">
        <v>193</v>
      </c>
      <c r="M18" s="13" t="s">
        <v>193</v>
      </c>
      <c r="N18" s="197">
        <v>43831</v>
      </c>
      <c r="O18" s="16">
        <v>45658</v>
      </c>
      <c r="P18" s="13">
        <v>2090750.25</v>
      </c>
      <c r="Q18" s="242" t="e">
        <v>#VALUE!</v>
      </c>
    </row>
    <row r="19" spans="1:17" x14ac:dyDescent="0.2">
      <c r="A19" s="4" t="s">
        <v>51</v>
      </c>
      <c r="B19" s="13">
        <v>2041893568.29</v>
      </c>
      <c r="C19" s="13">
        <v>1897273091.8699999</v>
      </c>
      <c r="D19" s="13">
        <v>144620476.42000008</v>
      </c>
      <c r="E19" s="13">
        <v>34615860.020000003</v>
      </c>
      <c r="F19" s="13">
        <v>40828727</v>
      </c>
      <c r="G19" s="14">
        <v>3.54</v>
      </c>
      <c r="H19" s="14">
        <v>0.85</v>
      </c>
      <c r="I19" s="13">
        <v>2884655.0016666669</v>
      </c>
      <c r="J19" s="15">
        <v>-1</v>
      </c>
      <c r="K19" s="13" t="s">
        <v>193</v>
      </c>
      <c r="L19" s="13" t="s">
        <v>193</v>
      </c>
      <c r="M19" s="13" t="s">
        <v>193</v>
      </c>
      <c r="N19" s="197">
        <v>43831</v>
      </c>
      <c r="O19" s="16">
        <v>45658</v>
      </c>
      <c r="P19" s="13">
        <v>3295216.39</v>
      </c>
      <c r="Q19" s="242" t="e">
        <v>#VALUE!</v>
      </c>
    </row>
    <row r="20" spans="1:17" x14ac:dyDescent="0.2">
      <c r="A20" s="4" t="s">
        <v>44</v>
      </c>
      <c r="B20" s="13">
        <v>493558716</v>
      </c>
      <c r="C20" s="13">
        <v>454725466.69999999</v>
      </c>
      <c r="D20" s="13">
        <v>38833249.300000012</v>
      </c>
      <c r="E20" s="13">
        <v>10973998.32</v>
      </c>
      <c r="F20" s="13">
        <v>11038481</v>
      </c>
      <c r="G20" s="14">
        <v>3.52</v>
      </c>
      <c r="H20" s="14">
        <v>0.99</v>
      </c>
      <c r="I20" s="13">
        <v>914499.86</v>
      </c>
      <c r="J20" s="15">
        <v>-1</v>
      </c>
      <c r="K20" s="13" t="s">
        <v>193</v>
      </c>
      <c r="L20" s="13" t="s">
        <v>193</v>
      </c>
      <c r="M20" s="13" t="s">
        <v>193</v>
      </c>
      <c r="N20" s="197">
        <v>43831</v>
      </c>
      <c r="O20" s="16">
        <v>45658</v>
      </c>
      <c r="P20" s="13">
        <v>1436965.81</v>
      </c>
      <c r="Q20" s="242" t="e">
        <v>#VALUE!</v>
      </c>
    </row>
    <row r="21" spans="1:17" x14ac:dyDescent="0.2">
      <c r="A21" s="4" t="s">
        <v>45</v>
      </c>
      <c r="B21" s="13">
        <v>1276422533.53</v>
      </c>
      <c r="C21" s="13">
        <v>1111280764.05</v>
      </c>
      <c r="D21" s="13">
        <v>165141769.48000002</v>
      </c>
      <c r="E21" s="13">
        <v>38187517.469999999</v>
      </c>
      <c r="F21" s="13">
        <v>47644860</v>
      </c>
      <c r="G21" s="14">
        <v>3.47</v>
      </c>
      <c r="H21" s="14">
        <v>0.8</v>
      </c>
      <c r="I21" s="13">
        <v>3182293.1225000001</v>
      </c>
      <c r="J21" s="15">
        <v>-1</v>
      </c>
      <c r="K21" s="13" t="s">
        <v>193</v>
      </c>
      <c r="L21" s="13" t="s">
        <v>193</v>
      </c>
      <c r="M21" s="13" t="s">
        <v>193</v>
      </c>
      <c r="N21" s="197">
        <v>43831</v>
      </c>
      <c r="O21" s="16">
        <v>45658</v>
      </c>
      <c r="P21" s="13">
        <v>3873628.89</v>
      </c>
      <c r="Q21" s="242" t="e">
        <v>#VALUE!</v>
      </c>
    </row>
    <row r="22" spans="1:17" x14ac:dyDescent="0.2">
      <c r="A22" s="4" t="s">
        <v>28</v>
      </c>
      <c r="B22" s="13">
        <v>1083940953</v>
      </c>
      <c r="C22" s="13">
        <v>1000423766.39</v>
      </c>
      <c r="D22" s="13">
        <v>83517186.610000014</v>
      </c>
      <c r="E22" s="13">
        <v>21407023.760000002</v>
      </c>
      <c r="F22" s="13">
        <v>24208645</v>
      </c>
      <c r="G22" s="14">
        <v>3.45</v>
      </c>
      <c r="H22" s="14">
        <v>0.88</v>
      </c>
      <c r="I22" s="13">
        <v>1783918.6466666667</v>
      </c>
      <c r="J22" s="15">
        <v>-1</v>
      </c>
      <c r="K22" s="13" t="s">
        <v>193</v>
      </c>
      <c r="L22" s="13" t="s">
        <v>193</v>
      </c>
      <c r="M22" s="13" t="s">
        <v>193</v>
      </c>
      <c r="N22" s="197">
        <v>43831</v>
      </c>
      <c r="O22" s="16">
        <v>45658</v>
      </c>
      <c r="P22" s="13">
        <v>896535.67</v>
      </c>
      <c r="Q22" s="242" t="e">
        <v>#VALUE!</v>
      </c>
    </row>
    <row r="23" spans="1:17" x14ac:dyDescent="0.2">
      <c r="A23" s="4" t="s">
        <v>29</v>
      </c>
      <c r="B23" s="13">
        <v>689945660</v>
      </c>
      <c r="C23" s="13">
        <v>639471221.46000004</v>
      </c>
      <c r="D23" s="13">
        <v>50474438.539999962</v>
      </c>
      <c r="E23" s="13">
        <v>9771457.9000000004</v>
      </c>
      <c r="F23" s="13">
        <v>14901309</v>
      </c>
      <c r="G23" s="14">
        <v>3.39</v>
      </c>
      <c r="H23" s="14">
        <v>0.66</v>
      </c>
      <c r="I23" s="13">
        <v>814288.15833333333</v>
      </c>
      <c r="J23" s="15">
        <v>-1</v>
      </c>
      <c r="K23" s="13" t="s">
        <v>193</v>
      </c>
      <c r="L23" s="13" t="s">
        <v>193</v>
      </c>
      <c r="M23" s="13" t="s">
        <v>193</v>
      </c>
      <c r="N23" s="197">
        <v>43466</v>
      </c>
      <c r="O23" s="16">
        <v>45658</v>
      </c>
      <c r="P23" s="13">
        <v>882408.49</v>
      </c>
      <c r="Q23" s="242" t="e">
        <v>#VALUE!</v>
      </c>
    </row>
    <row r="24" spans="1:17" x14ac:dyDescent="0.2">
      <c r="A24" s="4" t="s">
        <v>39</v>
      </c>
      <c r="B24" s="13">
        <v>265120500</v>
      </c>
      <c r="C24" s="13">
        <v>244705445.47999999</v>
      </c>
      <c r="D24" s="13">
        <v>20415054.520000011</v>
      </c>
      <c r="E24" s="13">
        <v>7900326.75</v>
      </c>
      <c r="F24" s="13">
        <v>6172506</v>
      </c>
      <c r="G24" s="14">
        <v>3.31</v>
      </c>
      <c r="H24" s="14">
        <v>1.28</v>
      </c>
      <c r="I24" s="13">
        <v>658360.5625</v>
      </c>
      <c r="J24" s="15">
        <v>2</v>
      </c>
      <c r="K24" s="13">
        <v>19098333.395000011</v>
      </c>
      <c r="L24" s="13">
        <v>4035021.2600000054</v>
      </c>
      <c r="M24" s="13">
        <v>2491894.7600000054</v>
      </c>
      <c r="N24" s="197">
        <v>43922</v>
      </c>
      <c r="O24" s="16">
        <v>45748</v>
      </c>
      <c r="P24" s="13">
        <v>294890.40999999997</v>
      </c>
      <c r="Q24" s="242" t="e">
        <v>#VALUE!</v>
      </c>
    </row>
    <row r="25" spans="1:17" x14ac:dyDescent="0.2">
      <c r="A25" s="4" t="s">
        <v>24</v>
      </c>
      <c r="B25" s="13">
        <v>1683242657.0699999</v>
      </c>
      <c r="C25" s="13">
        <v>1548579665.26</v>
      </c>
      <c r="D25" s="13">
        <v>134662991.80999994</v>
      </c>
      <c r="E25" s="13">
        <v>39968802.719999999</v>
      </c>
      <c r="F25" s="13">
        <v>40945091</v>
      </c>
      <c r="G25" s="14">
        <v>3.29</v>
      </c>
      <c r="H25" s="14">
        <v>0.98</v>
      </c>
      <c r="I25" s="13">
        <v>3330733.56</v>
      </c>
      <c r="J25" s="15">
        <v>5</v>
      </c>
      <c r="K25" s="13">
        <v>118009324.00999995</v>
      </c>
      <c r="L25" s="13">
        <v>10554561.961999988</v>
      </c>
      <c r="M25" s="13">
        <v>6460052.8619999886</v>
      </c>
      <c r="N25" s="197">
        <v>43647</v>
      </c>
      <c r="O25" s="16">
        <v>45839</v>
      </c>
      <c r="P25" s="13">
        <v>1387426.81</v>
      </c>
      <c r="Q25" s="242" t="e">
        <v>#VALUE!</v>
      </c>
    </row>
    <row r="26" spans="1:17" x14ac:dyDescent="0.2">
      <c r="A26" s="4" t="s">
        <v>56</v>
      </c>
      <c r="B26" s="13">
        <v>1182377479</v>
      </c>
      <c r="C26" s="13">
        <v>1094298864.9200001</v>
      </c>
      <c r="D26" s="13">
        <v>88078614.079999924</v>
      </c>
      <c r="E26" s="13">
        <v>22548781.609999999</v>
      </c>
      <c r="F26" s="13">
        <v>27472066</v>
      </c>
      <c r="G26" s="14">
        <v>3.21</v>
      </c>
      <c r="H26" s="14">
        <v>0.82</v>
      </c>
      <c r="I26" s="13">
        <v>1879065.1341666665</v>
      </c>
      <c r="J26" s="15">
        <v>5</v>
      </c>
      <c r="K26" s="13">
        <v>78683288.409166589</v>
      </c>
      <c r="L26" s="13">
        <v>6626896.4159999844</v>
      </c>
      <c r="M26" s="13">
        <v>3879689.8159999847</v>
      </c>
      <c r="N26" s="197">
        <v>43647</v>
      </c>
      <c r="O26" s="16">
        <v>45839</v>
      </c>
      <c r="P26" s="13">
        <v>1703354.44</v>
      </c>
      <c r="Q26" s="242" t="e">
        <v>#VALUE!</v>
      </c>
    </row>
    <row r="27" spans="1:17" x14ac:dyDescent="0.2">
      <c r="A27" s="4" t="s">
        <v>42</v>
      </c>
      <c r="B27" s="13">
        <v>355494147</v>
      </c>
      <c r="C27" s="13">
        <v>326785705.11000001</v>
      </c>
      <c r="D27" s="13">
        <v>28708441.889999986</v>
      </c>
      <c r="E27" s="13">
        <v>6819597.3399999999</v>
      </c>
      <c r="F27" s="13">
        <v>9435207</v>
      </c>
      <c r="G27" s="14">
        <v>3.04</v>
      </c>
      <c r="H27" s="14">
        <v>0.72</v>
      </c>
      <c r="I27" s="13">
        <v>568299.77833333332</v>
      </c>
      <c r="J27" s="15">
        <v>-1</v>
      </c>
      <c r="K27" s="13" t="s">
        <v>193</v>
      </c>
      <c r="L27" s="13" t="s">
        <v>193</v>
      </c>
      <c r="M27" s="13" t="s">
        <v>193</v>
      </c>
      <c r="N27" s="197">
        <v>43831</v>
      </c>
      <c r="O27" s="16">
        <v>45658</v>
      </c>
      <c r="P27" s="13">
        <v>843433.92</v>
      </c>
      <c r="Q27" s="242" t="e">
        <v>#VALUE!</v>
      </c>
    </row>
    <row r="28" spans="1:17" x14ac:dyDescent="0.2">
      <c r="A28" s="4" t="s">
        <v>43</v>
      </c>
      <c r="B28" s="13">
        <v>300531063.24000001</v>
      </c>
      <c r="C28" s="13">
        <v>280199540.94</v>
      </c>
      <c r="D28" s="13">
        <v>20331522.300000012</v>
      </c>
      <c r="E28" s="13">
        <v>7281673.8200000003</v>
      </c>
      <c r="F28" s="13">
        <v>6730317</v>
      </c>
      <c r="G28" s="14">
        <v>3.02</v>
      </c>
      <c r="H28" s="14">
        <v>1.08</v>
      </c>
      <c r="I28" s="13">
        <v>606806.15166666673</v>
      </c>
      <c r="J28" s="15">
        <v>5</v>
      </c>
      <c r="K28" s="13">
        <v>17297491.541666679</v>
      </c>
      <c r="L28" s="13">
        <v>1374177.6600000025</v>
      </c>
      <c r="M28" s="13">
        <v>701145.96000000241</v>
      </c>
      <c r="N28" s="197">
        <v>43647</v>
      </c>
      <c r="O28" s="16">
        <v>45839</v>
      </c>
      <c r="P28" s="13">
        <v>0</v>
      </c>
      <c r="Q28" s="242" t="e">
        <v>#VALUE!</v>
      </c>
    </row>
    <row r="29" spans="1:17" x14ac:dyDescent="0.2">
      <c r="A29" s="4" t="s">
        <v>61</v>
      </c>
      <c r="B29" s="13">
        <v>535148479</v>
      </c>
      <c r="C29" s="13">
        <v>496483809.94999999</v>
      </c>
      <c r="D29" s="13">
        <v>38664669.050000012</v>
      </c>
      <c r="E29" s="13">
        <v>11323254.34</v>
      </c>
      <c r="F29" s="13">
        <v>13099382</v>
      </c>
      <c r="G29" s="14">
        <v>2.95</v>
      </c>
      <c r="H29" s="14">
        <v>0.86</v>
      </c>
      <c r="I29" s="13">
        <v>943604.52833333332</v>
      </c>
      <c r="J29" s="15">
        <v>5</v>
      </c>
      <c r="K29" s="13">
        <v>33946646.408333346</v>
      </c>
      <c r="L29" s="13">
        <v>2493181.0100000026</v>
      </c>
      <c r="M29" s="13">
        <v>1183242.8100000024</v>
      </c>
      <c r="N29" s="197">
        <v>43647</v>
      </c>
      <c r="O29" s="16">
        <v>45839</v>
      </c>
      <c r="P29" s="13">
        <v>1612634.52</v>
      </c>
      <c r="Q29" s="242" t="e">
        <v>#VALUE!</v>
      </c>
    </row>
    <row r="30" spans="1:17" x14ac:dyDescent="0.2">
      <c r="A30" s="4" t="s">
        <v>53</v>
      </c>
      <c r="B30" s="13">
        <v>203184641.25</v>
      </c>
      <c r="C30" s="13">
        <v>186600750.56</v>
      </c>
      <c r="D30" s="13">
        <v>16583890.689999998</v>
      </c>
      <c r="E30" s="13">
        <v>10770320.84</v>
      </c>
      <c r="F30" s="13">
        <v>5655134</v>
      </c>
      <c r="G30" s="14">
        <v>2.93</v>
      </c>
      <c r="H30" s="14">
        <v>1.9</v>
      </c>
      <c r="I30" s="13">
        <v>897526.73666666669</v>
      </c>
      <c r="J30" s="15">
        <v>5</v>
      </c>
      <c r="K30" s="13">
        <v>12096257.006666664</v>
      </c>
      <c r="L30" s="13">
        <v>1054724.5379999995</v>
      </c>
      <c r="M30" s="13" t="s">
        <v>192</v>
      </c>
      <c r="N30" s="197">
        <v>43647</v>
      </c>
      <c r="O30" s="16">
        <v>45839</v>
      </c>
      <c r="P30" s="13">
        <v>1264747.46</v>
      </c>
      <c r="Q30" s="242" t="e">
        <v>#VALUE!</v>
      </c>
    </row>
    <row r="31" spans="1:17" x14ac:dyDescent="0.2">
      <c r="A31" s="4" t="s">
        <v>27</v>
      </c>
      <c r="B31" s="13">
        <v>1340428223.5599999</v>
      </c>
      <c r="C31" s="13">
        <v>1252152762.8599999</v>
      </c>
      <c r="D31" s="13">
        <v>88275460.700000048</v>
      </c>
      <c r="E31" s="13">
        <v>24886299.93</v>
      </c>
      <c r="F31" s="13">
        <v>30689455</v>
      </c>
      <c r="G31" s="14">
        <v>2.88</v>
      </c>
      <c r="H31" s="14">
        <v>0.81</v>
      </c>
      <c r="I31" s="13">
        <v>2073858.3274999999</v>
      </c>
      <c r="J31" s="15">
        <v>5</v>
      </c>
      <c r="K31" s="13">
        <v>77906169.062500045</v>
      </c>
      <c r="L31" s="13">
        <v>5379310.1400000099</v>
      </c>
      <c r="M31" s="13">
        <v>2310364.6400000094</v>
      </c>
      <c r="N31" s="197">
        <v>43647</v>
      </c>
      <c r="O31" s="16">
        <v>45839</v>
      </c>
      <c r="P31" s="13">
        <v>1304813.26</v>
      </c>
      <c r="Q31" s="242" t="e">
        <v>#VALUE!</v>
      </c>
    </row>
    <row r="32" spans="1:17" x14ac:dyDescent="0.2">
      <c r="A32" s="4" t="s">
        <v>57</v>
      </c>
      <c r="B32" s="13">
        <v>2950491414.54</v>
      </c>
      <c r="C32" s="13">
        <v>2746654163.8899999</v>
      </c>
      <c r="D32" s="13">
        <v>203837250.6500001</v>
      </c>
      <c r="E32" s="13">
        <v>74390087.640000001</v>
      </c>
      <c r="F32" s="13">
        <v>71178309</v>
      </c>
      <c r="G32" s="14">
        <v>2.86</v>
      </c>
      <c r="H32" s="14">
        <v>1.05</v>
      </c>
      <c r="I32" s="13">
        <v>6199173.9699999997</v>
      </c>
      <c r="J32" s="15">
        <v>7</v>
      </c>
      <c r="K32" s="13">
        <v>160443032.8600001</v>
      </c>
      <c r="L32" s="13">
        <v>8782947.5214285851</v>
      </c>
      <c r="M32" s="13" t="s">
        <v>192</v>
      </c>
      <c r="N32" s="197">
        <v>44075</v>
      </c>
      <c r="O32" s="16">
        <v>45901</v>
      </c>
      <c r="P32" s="13">
        <v>2773860.27</v>
      </c>
      <c r="Q32" s="242" t="e">
        <v>#VALUE!</v>
      </c>
    </row>
    <row r="33" spans="1:17" x14ac:dyDescent="0.2">
      <c r="A33" s="4" t="s">
        <v>25</v>
      </c>
      <c r="B33" s="13">
        <v>351543186.45999998</v>
      </c>
      <c r="C33" s="13">
        <v>327597223.81</v>
      </c>
      <c r="D33" s="13">
        <v>23945962.649999976</v>
      </c>
      <c r="E33" s="13">
        <v>7078730.8300000001</v>
      </c>
      <c r="F33" s="13">
        <v>8658249</v>
      </c>
      <c r="G33" s="14">
        <v>2.77</v>
      </c>
      <c r="H33" s="14">
        <v>0.82</v>
      </c>
      <c r="I33" s="13">
        <v>589894.23583333334</v>
      </c>
      <c r="J33" s="15">
        <v>2</v>
      </c>
      <c r="K33" s="13">
        <v>22766174.178333309</v>
      </c>
      <c r="L33" s="13">
        <v>3314732.3249999881</v>
      </c>
      <c r="M33" s="13">
        <v>1150170.0749999881</v>
      </c>
      <c r="N33" s="197">
        <v>43556</v>
      </c>
      <c r="O33" s="16">
        <v>45748</v>
      </c>
      <c r="P33" s="13">
        <v>0</v>
      </c>
      <c r="Q33" s="242" t="e">
        <v>#VALUE!</v>
      </c>
    </row>
    <row r="34" spans="1:17" x14ac:dyDescent="0.2">
      <c r="A34" s="4" t="s">
        <v>20</v>
      </c>
      <c r="B34" s="13">
        <v>392596167.93000001</v>
      </c>
      <c r="C34" s="13">
        <v>366923018.07999998</v>
      </c>
      <c r="D34" s="13">
        <v>25673149.850000024</v>
      </c>
      <c r="E34" s="13">
        <v>12646538.09</v>
      </c>
      <c r="F34" s="13">
        <v>9305817</v>
      </c>
      <c r="G34" s="14">
        <v>2.76</v>
      </c>
      <c r="H34" s="14">
        <v>1.36</v>
      </c>
      <c r="I34" s="13">
        <v>1053878.1741666666</v>
      </c>
      <c r="J34" s="15">
        <v>2</v>
      </c>
      <c r="K34" s="13">
        <v>23565393.501666691</v>
      </c>
      <c r="L34" s="13">
        <v>3530757.9250000119</v>
      </c>
      <c r="M34" s="13">
        <v>1204303.6750000119</v>
      </c>
      <c r="N34" s="197">
        <v>43556</v>
      </c>
      <c r="O34" s="16">
        <v>45748</v>
      </c>
      <c r="P34" s="13">
        <v>88266.71</v>
      </c>
      <c r="Q34" s="242" t="e">
        <v>#VALUE!</v>
      </c>
    </row>
    <row r="35" spans="1:17" x14ac:dyDescent="0.2">
      <c r="A35" s="4" t="s">
        <v>59</v>
      </c>
      <c r="B35" s="13">
        <v>285086766</v>
      </c>
      <c r="C35" s="13">
        <v>265691214</v>
      </c>
      <c r="D35" s="13">
        <v>19395552</v>
      </c>
      <c r="E35" s="13">
        <v>8266096.4100000001</v>
      </c>
      <c r="F35" s="13">
        <v>7485780</v>
      </c>
      <c r="G35" s="14">
        <v>2.59</v>
      </c>
      <c r="H35" s="14">
        <v>1.1000000000000001</v>
      </c>
      <c r="I35" s="13">
        <v>688841.36750000005</v>
      </c>
      <c r="J35" s="15">
        <v>5</v>
      </c>
      <c r="K35" s="13">
        <v>15951345.1625</v>
      </c>
      <c r="L35" s="13">
        <v>884798.4</v>
      </c>
      <c r="M35" s="13" t="s">
        <v>192</v>
      </c>
      <c r="N35" s="197">
        <v>43647</v>
      </c>
      <c r="O35" s="16">
        <v>45839</v>
      </c>
      <c r="P35" s="13">
        <v>171758</v>
      </c>
      <c r="Q35" s="242" t="e">
        <v>#VALUE!</v>
      </c>
    </row>
    <row r="36" spans="1:17" x14ac:dyDescent="0.2">
      <c r="A36" s="4" t="s">
        <v>41</v>
      </c>
      <c r="B36" s="13">
        <v>101611843</v>
      </c>
      <c r="C36" s="13">
        <v>94259564.299999997</v>
      </c>
      <c r="D36" s="13">
        <v>7352278.700000003</v>
      </c>
      <c r="E36" s="13">
        <v>2991542.37</v>
      </c>
      <c r="F36" s="13">
        <v>2910779</v>
      </c>
      <c r="G36" s="14">
        <v>2.5299999999999998</v>
      </c>
      <c r="H36" s="14">
        <v>1.03</v>
      </c>
      <c r="I36" s="13">
        <v>249295.19750000001</v>
      </c>
      <c r="J36" s="15">
        <v>5</v>
      </c>
      <c r="K36" s="13">
        <v>6105802.7125000032</v>
      </c>
      <c r="L36" s="13">
        <v>306144.1400000006</v>
      </c>
      <c r="M36" s="13" t="s">
        <v>192</v>
      </c>
      <c r="N36" s="197">
        <v>43647</v>
      </c>
      <c r="O36" s="16">
        <v>45839</v>
      </c>
      <c r="P36" s="13">
        <v>790785.38</v>
      </c>
      <c r="Q36" s="242" t="e">
        <v>#VALUE!</v>
      </c>
    </row>
    <row r="37" spans="1:17" x14ac:dyDescent="0.2">
      <c r="A37" s="4" t="s">
        <v>34</v>
      </c>
      <c r="B37" s="13">
        <v>1428807757.99</v>
      </c>
      <c r="C37" s="13">
        <v>1343430897.55</v>
      </c>
      <c r="D37" s="13">
        <v>85376860.440000057</v>
      </c>
      <c r="E37" s="13">
        <v>47906256.659999996</v>
      </c>
      <c r="F37" s="13">
        <v>34424780</v>
      </c>
      <c r="G37" s="14">
        <v>2.48</v>
      </c>
      <c r="H37" s="14">
        <v>1.39</v>
      </c>
      <c r="I37" s="13">
        <v>3992188.0549999997</v>
      </c>
      <c r="J37" s="15">
        <v>2</v>
      </c>
      <c r="K37" s="13">
        <v>77392484.330000058</v>
      </c>
      <c r="L37" s="13">
        <v>8263650.2200000286</v>
      </c>
      <c r="M37" s="13" t="s">
        <v>192</v>
      </c>
      <c r="N37" s="197">
        <v>43922</v>
      </c>
      <c r="O37" s="16">
        <v>45748</v>
      </c>
      <c r="P37" s="13">
        <v>6099137.29</v>
      </c>
      <c r="Q37" s="242" t="e">
        <v>#VALUE!</v>
      </c>
    </row>
    <row r="38" spans="1:17" x14ac:dyDescent="0.2">
      <c r="A38" s="4" t="s">
        <v>37</v>
      </c>
      <c r="B38" s="13">
        <v>1239388142.8299999</v>
      </c>
      <c r="C38" s="13">
        <v>1180279109.78</v>
      </c>
      <c r="D38" s="13">
        <v>59109033.049999952</v>
      </c>
      <c r="E38" s="13">
        <v>20321115.609999999</v>
      </c>
      <c r="F38" s="13">
        <v>24088947</v>
      </c>
      <c r="G38" s="14">
        <v>2.4500000000000002</v>
      </c>
      <c r="H38" s="14">
        <v>0.84</v>
      </c>
      <c r="I38" s="13">
        <v>1693426.3008333333</v>
      </c>
      <c r="J38" s="15">
        <v>5</v>
      </c>
      <c r="K38" s="13">
        <v>50641901.54583329</v>
      </c>
      <c r="L38" s="13">
        <v>2186227.8099999903</v>
      </c>
      <c r="M38" s="13" t="s">
        <v>192</v>
      </c>
      <c r="N38" s="197">
        <v>43647</v>
      </c>
      <c r="O38" s="16">
        <v>45839</v>
      </c>
      <c r="P38" s="13">
        <v>1179660.04</v>
      </c>
      <c r="Q38" s="242" t="e">
        <v>#VALUE!</v>
      </c>
    </row>
    <row r="39" spans="1:17" x14ac:dyDescent="0.2">
      <c r="A39" s="4" t="s">
        <v>49</v>
      </c>
      <c r="B39" s="13">
        <v>699328036.19000006</v>
      </c>
      <c r="C39" s="13">
        <v>665115532.79999995</v>
      </c>
      <c r="D39" s="13">
        <v>34212503.390000105</v>
      </c>
      <c r="E39" s="13">
        <v>13469109.550000001</v>
      </c>
      <c r="F39" s="13">
        <v>14024709</v>
      </c>
      <c r="G39" s="14">
        <v>2.44</v>
      </c>
      <c r="H39" s="14">
        <v>0.96</v>
      </c>
      <c r="I39" s="13">
        <v>1122425.7958333334</v>
      </c>
      <c r="J39" s="15">
        <v>2</v>
      </c>
      <c r="K39" s="13">
        <v>31967651.798333436</v>
      </c>
      <c r="L39" s="13">
        <v>3081542.6950000525</v>
      </c>
      <c r="M39" s="13" t="s">
        <v>192</v>
      </c>
      <c r="N39" s="197">
        <v>43922</v>
      </c>
      <c r="O39" s="16">
        <v>45748</v>
      </c>
      <c r="P39" s="13">
        <v>526630.55000000005</v>
      </c>
      <c r="Q39" s="242" t="e">
        <v>#VALUE!</v>
      </c>
    </row>
    <row r="40" spans="1:17" x14ac:dyDescent="0.2">
      <c r="A40" s="4" t="s">
        <v>18</v>
      </c>
      <c r="B40" s="13">
        <v>799406417.05999994</v>
      </c>
      <c r="C40" s="13">
        <v>756998671.79999995</v>
      </c>
      <c r="D40" s="13">
        <v>42407745.25999999</v>
      </c>
      <c r="E40" s="13">
        <v>29047925.920000002</v>
      </c>
      <c r="F40" s="13">
        <v>17480755</v>
      </c>
      <c r="G40" s="14">
        <v>2.4300000000000002</v>
      </c>
      <c r="H40" s="14">
        <v>1.66</v>
      </c>
      <c r="I40" s="13">
        <v>2420660.4933333336</v>
      </c>
      <c r="J40" s="15">
        <v>5</v>
      </c>
      <c r="K40" s="13">
        <v>30304442.793333322</v>
      </c>
      <c r="L40" s="13" t="s">
        <v>192</v>
      </c>
      <c r="M40" s="13" t="s">
        <v>192</v>
      </c>
      <c r="N40" s="197">
        <v>43647</v>
      </c>
      <c r="O40" s="16">
        <v>45839</v>
      </c>
      <c r="P40" s="13">
        <v>8262174.8600000003</v>
      </c>
      <c r="Q40" s="242" t="e">
        <v>#VALUE!</v>
      </c>
    </row>
    <row r="41" spans="1:17" x14ac:dyDescent="0.2">
      <c r="A41" s="4" t="s">
        <v>21</v>
      </c>
      <c r="B41" s="13">
        <v>528328839.02999997</v>
      </c>
      <c r="C41" s="13">
        <v>495853841.98000002</v>
      </c>
      <c r="D41" s="13">
        <v>32474997.049999952</v>
      </c>
      <c r="E41" s="13">
        <v>13710252.550000001</v>
      </c>
      <c r="F41" s="13">
        <v>13880022</v>
      </c>
      <c r="G41" s="14">
        <v>2.34</v>
      </c>
      <c r="H41" s="14">
        <v>0.99</v>
      </c>
      <c r="I41" s="13">
        <v>1142521.0458333334</v>
      </c>
      <c r="J41" s="15">
        <v>5</v>
      </c>
      <c r="K41" s="13">
        <v>26762391.820833284</v>
      </c>
      <c r="L41" s="13" t="s">
        <v>192</v>
      </c>
      <c r="M41" s="13" t="s">
        <v>192</v>
      </c>
      <c r="N41" s="197">
        <v>43647</v>
      </c>
      <c r="O41" s="16">
        <v>45839</v>
      </c>
      <c r="P41" s="13">
        <v>1032233.32</v>
      </c>
      <c r="Q41" s="242" t="e">
        <v>#VALUE!</v>
      </c>
    </row>
    <row r="42" spans="1:17" x14ac:dyDescent="0.2">
      <c r="A42" s="4" t="s">
        <v>48</v>
      </c>
      <c r="B42" s="13">
        <v>1985336227.8699999</v>
      </c>
      <c r="C42" s="13">
        <v>1879613610.1900001</v>
      </c>
      <c r="D42" s="13">
        <v>105722617.67999983</v>
      </c>
      <c r="E42" s="13">
        <v>44100471.979999997</v>
      </c>
      <c r="F42" s="13">
        <v>45588088</v>
      </c>
      <c r="G42" s="14">
        <v>2.3199999999999998</v>
      </c>
      <c r="H42" s="14">
        <v>0.97</v>
      </c>
      <c r="I42" s="13">
        <v>3675039.3316666665</v>
      </c>
      <c r="J42" s="15">
        <v>5</v>
      </c>
      <c r="K42" s="13">
        <v>87347421.021666497</v>
      </c>
      <c r="L42" s="13" t="s">
        <v>192</v>
      </c>
      <c r="M42" s="13" t="s">
        <v>192</v>
      </c>
      <c r="N42" s="197">
        <v>43647</v>
      </c>
      <c r="O42" s="16">
        <v>45839</v>
      </c>
      <c r="P42" s="13">
        <v>4774987.1399999997</v>
      </c>
      <c r="Q42" s="242" t="e">
        <v>#VALUE!</v>
      </c>
    </row>
    <row r="43" spans="1:17" x14ac:dyDescent="0.2">
      <c r="A43" s="4" t="s">
        <v>63</v>
      </c>
      <c r="B43" s="13">
        <v>1110426785</v>
      </c>
      <c r="C43" s="13">
        <v>1046764605.0599999</v>
      </c>
      <c r="D43" s="13">
        <v>63662179.940000057</v>
      </c>
      <c r="E43" s="13">
        <v>23435299.719999999</v>
      </c>
      <c r="F43" s="13">
        <v>27485501</v>
      </c>
      <c r="G43" s="14">
        <v>2.3199999999999998</v>
      </c>
      <c r="H43" s="14">
        <v>0.85</v>
      </c>
      <c r="I43" s="13">
        <v>1952941.6433333333</v>
      </c>
      <c r="J43" s="15">
        <v>2</v>
      </c>
      <c r="K43" s="13">
        <v>59756296.653333388</v>
      </c>
      <c r="L43" s="13">
        <v>4345588.9700000286</v>
      </c>
      <c r="M43" s="13" t="s">
        <v>192</v>
      </c>
      <c r="N43" s="197">
        <v>43922</v>
      </c>
      <c r="O43" s="16">
        <v>45748</v>
      </c>
      <c r="P43" s="13">
        <v>4961061.79</v>
      </c>
      <c r="Q43" s="242" t="e">
        <v>#VALUE!</v>
      </c>
    </row>
    <row r="44" spans="1:17" x14ac:dyDescent="0.2">
      <c r="A44" s="4" t="s">
        <v>32</v>
      </c>
      <c r="B44" s="13">
        <v>509113932</v>
      </c>
      <c r="C44" s="13">
        <v>482656916.80000001</v>
      </c>
      <c r="D44" s="13">
        <v>26457015.199999988</v>
      </c>
      <c r="E44" s="13">
        <v>11759630.960000001</v>
      </c>
      <c r="F44" s="13">
        <v>11867952</v>
      </c>
      <c r="G44" s="14">
        <v>2.23</v>
      </c>
      <c r="H44" s="14">
        <v>0.99</v>
      </c>
      <c r="I44" s="13">
        <v>979969.2466666667</v>
      </c>
      <c r="J44" s="15">
        <v>-1</v>
      </c>
      <c r="K44" s="13" t="s">
        <v>193</v>
      </c>
      <c r="L44" s="13" t="s">
        <v>193</v>
      </c>
      <c r="M44" s="13" t="s">
        <v>193</v>
      </c>
      <c r="N44" s="197">
        <v>43831</v>
      </c>
      <c r="O44" s="16">
        <v>45658</v>
      </c>
      <c r="P44" s="13">
        <v>276606.77</v>
      </c>
      <c r="Q44" s="242" t="e">
        <v>#VALUE!</v>
      </c>
    </row>
    <row r="45" spans="1:17" x14ac:dyDescent="0.2">
      <c r="A45" s="4" t="s">
        <v>33</v>
      </c>
      <c r="B45" s="13">
        <v>314446387.48000002</v>
      </c>
      <c r="C45" s="13">
        <v>295743196.38999999</v>
      </c>
      <c r="D45" s="13">
        <v>18703191.090000033</v>
      </c>
      <c r="E45" s="13">
        <v>10178315.51</v>
      </c>
      <c r="F45" s="13">
        <v>8369791</v>
      </c>
      <c r="G45" s="14">
        <v>2.23</v>
      </c>
      <c r="H45" s="14">
        <v>1.22</v>
      </c>
      <c r="I45" s="13">
        <v>848192.95916666661</v>
      </c>
      <c r="J45" s="15">
        <v>5</v>
      </c>
      <c r="K45" s="13">
        <v>14462226.294166699</v>
      </c>
      <c r="L45" s="13" t="s">
        <v>192</v>
      </c>
      <c r="M45" s="13" t="s">
        <v>192</v>
      </c>
      <c r="N45" s="197">
        <v>43647</v>
      </c>
      <c r="O45" s="16">
        <v>45839</v>
      </c>
      <c r="P45" s="13">
        <v>614805.23</v>
      </c>
      <c r="Q45" s="242" t="e">
        <v>#VALUE!</v>
      </c>
    </row>
    <row r="46" spans="1:17" x14ac:dyDescent="0.2">
      <c r="A46" s="4" t="s">
        <v>17</v>
      </c>
      <c r="B46" s="13">
        <v>398824318</v>
      </c>
      <c r="C46" s="13">
        <v>377661304.13</v>
      </c>
      <c r="D46" s="13">
        <v>21163013.870000005</v>
      </c>
      <c r="E46" s="13">
        <v>11137190.939999999</v>
      </c>
      <c r="F46" s="13">
        <v>9664284</v>
      </c>
      <c r="G46" s="14">
        <v>2.19</v>
      </c>
      <c r="H46" s="14">
        <v>1.1499999999999999</v>
      </c>
      <c r="I46" s="13">
        <v>928099.245</v>
      </c>
      <c r="J46" s="15">
        <v>5</v>
      </c>
      <c r="K46" s="13">
        <v>16522517.645000005</v>
      </c>
      <c r="L46" s="13" t="s">
        <v>192</v>
      </c>
      <c r="M46" s="13" t="s">
        <v>192</v>
      </c>
      <c r="N46" s="197">
        <v>43647</v>
      </c>
      <c r="O46" s="16">
        <v>45839</v>
      </c>
      <c r="P46" s="13">
        <v>786480.54</v>
      </c>
      <c r="Q46" s="242" t="e">
        <v>#VALUE!</v>
      </c>
    </row>
    <row r="47" spans="1:17" x14ac:dyDescent="0.2">
      <c r="A47" s="4" t="s">
        <v>55</v>
      </c>
      <c r="B47" s="13">
        <v>254239457</v>
      </c>
      <c r="C47" s="13">
        <v>242113133.25</v>
      </c>
      <c r="D47" s="13">
        <v>12126323.75</v>
      </c>
      <c r="E47" s="13">
        <v>9350511.5099999998</v>
      </c>
      <c r="F47" s="13">
        <v>5680880</v>
      </c>
      <c r="G47" s="14">
        <v>2.13</v>
      </c>
      <c r="H47" s="14">
        <v>1.65</v>
      </c>
      <c r="I47" s="13">
        <v>779209.29249999998</v>
      </c>
      <c r="J47" s="15">
        <v>-1</v>
      </c>
      <c r="K47" s="13" t="s">
        <v>193</v>
      </c>
      <c r="L47" s="13" t="s">
        <v>193</v>
      </c>
      <c r="M47" s="13" t="s">
        <v>193</v>
      </c>
      <c r="N47" s="197">
        <v>43831</v>
      </c>
      <c r="O47" s="16">
        <v>45658</v>
      </c>
      <c r="P47" s="13">
        <v>607404.1</v>
      </c>
      <c r="Q47" s="242" t="e">
        <v>#VALUE!</v>
      </c>
    </row>
    <row r="48" spans="1:17" x14ac:dyDescent="0.2">
      <c r="A48" s="4" t="s">
        <v>15</v>
      </c>
      <c r="B48" s="13">
        <v>1085275104.5</v>
      </c>
      <c r="C48" s="13">
        <v>1044294386.45</v>
      </c>
      <c r="D48" s="13">
        <v>40980718.049999952</v>
      </c>
      <c r="E48" s="13">
        <v>22344906.260000002</v>
      </c>
      <c r="F48" s="13">
        <v>22858857</v>
      </c>
      <c r="G48" s="14">
        <v>1.79</v>
      </c>
      <c r="H48" s="14">
        <v>0.98</v>
      </c>
      <c r="I48" s="13">
        <v>1862075.5216666667</v>
      </c>
      <c r="J48" s="15">
        <v>2</v>
      </c>
      <c r="K48" s="13">
        <v>37256567.006666616</v>
      </c>
      <c r="L48" s="13" t="s">
        <v>192</v>
      </c>
      <c r="M48" s="13" t="s">
        <v>192</v>
      </c>
      <c r="N48" s="197">
        <v>43556</v>
      </c>
      <c r="O48" s="16">
        <v>45748</v>
      </c>
      <c r="P48" s="13">
        <v>2405741.2799999998</v>
      </c>
      <c r="Q48" s="242" t="e">
        <v>#VALUE!</v>
      </c>
    </row>
    <row r="49" spans="1:17" x14ac:dyDescent="0.2">
      <c r="A49" s="4" t="s">
        <v>31</v>
      </c>
      <c r="B49" s="13">
        <v>1205115490</v>
      </c>
      <c r="C49" s="13">
        <v>1165066464.3199999</v>
      </c>
      <c r="D49" s="13">
        <v>40049025.680000067</v>
      </c>
      <c r="E49" s="13">
        <v>21569645.02</v>
      </c>
      <c r="F49" s="13">
        <v>22499042</v>
      </c>
      <c r="G49" s="14">
        <v>1.78</v>
      </c>
      <c r="H49" s="14">
        <v>0.96</v>
      </c>
      <c r="I49" s="13">
        <v>1797470.4183333332</v>
      </c>
      <c r="J49" s="15">
        <v>2</v>
      </c>
      <c r="K49" s="13">
        <v>36454084.843333401</v>
      </c>
      <c r="L49" s="13" t="s">
        <v>192</v>
      </c>
      <c r="M49" s="13" t="s">
        <v>192</v>
      </c>
      <c r="N49" s="197">
        <v>43922</v>
      </c>
      <c r="O49" s="16">
        <v>45748</v>
      </c>
      <c r="P49" s="13">
        <v>919424.43</v>
      </c>
      <c r="Q49" s="242" t="e">
        <v>#VALUE!</v>
      </c>
    </row>
    <row r="50" spans="1:17" x14ac:dyDescent="0.2">
      <c r="A50" s="4" t="s">
        <v>50</v>
      </c>
      <c r="B50" s="13">
        <v>545409679.30999994</v>
      </c>
      <c r="C50" s="13">
        <v>529315037.95999998</v>
      </c>
      <c r="D50" s="13">
        <v>16094641.349999964</v>
      </c>
      <c r="E50" s="13">
        <v>16792880.649999999</v>
      </c>
      <c r="F50" s="13">
        <v>11656242</v>
      </c>
      <c r="G50" s="14">
        <v>1.38</v>
      </c>
      <c r="H50" s="14">
        <v>1.44</v>
      </c>
      <c r="I50" s="13">
        <v>1399406.7208333332</v>
      </c>
      <c r="J50" s="15">
        <v>-1</v>
      </c>
      <c r="K50" s="13" t="s">
        <v>193</v>
      </c>
      <c r="L50" s="13" t="s">
        <v>193</v>
      </c>
      <c r="M50" s="13" t="s">
        <v>193</v>
      </c>
      <c r="N50" s="197">
        <v>43831</v>
      </c>
      <c r="O50" s="16">
        <v>45658</v>
      </c>
      <c r="P50" s="13">
        <v>1755426</v>
      </c>
      <c r="Q50" s="242" t="e">
        <v>#VALUE!</v>
      </c>
    </row>
    <row r="51" spans="1:17" x14ac:dyDescent="0.2">
      <c r="A51" s="4" t="s">
        <v>58</v>
      </c>
      <c r="B51" s="13">
        <v>238203233</v>
      </c>
      <c r="C51" s="13">
        <v>233685857.31999999</v>
      </c>
      <c r="D51" s="13">
        <v>4517375.6800000072</v>
      </c>
      <c r="E51" s="13">
        <v>6509356.8499999996</v>
      </c>
      <c r="F51" s="13">
        <v>5501208</v>
      </c>
      <c r="G51" s="14">
        <v>0.82</v>
      </c>
      <c r="H51" s="14">
        <v>1.18</v>
      </c>
      <c r="I51" s="13">
        <v>542446.40416666667</v>
      </c>
      <c r="J51" s="15">
        <v>5</v>
      </c>
      <c r="K51" s="13">
        <v>1805143.6591666737</v>
      </c>
      <c r="L51" s="13" t="s">
        <v>192</v>
      </c>
      <c r="M51" s="13" t="s">
        <v>192</v>
      </c>
      <c r="N51" s="197">
        <v>43647</v>
      </c>
      <c r="O51" s="16">
        <v>45839</v>
      </c>
      <c r="P51" s="13">
        <v>242071.11</v>
      </c>
      <c r="Q51" s="242" t="e">
        <v>#VALUE!</v>
      </c>
    </row>
    <row r="52" spans="1:17" x14ac:dyDescent="0.2">
      <c r="A52" s="4" t="s">
        <v>22</v>
      </c>
      <c r="B52" s="13">
        <v>75470621</v>
      </c>
      <c r="C52" s="13">
        <v>73613593.989999995</v>
      </c>
      <c r="D52" s="18">
        <v>1857027.0100000054</v>
      </c>
      <c r="E52" s="13">
        <v>2195409.02</v>
      </c>
      <c r="F52" s="13">
        <v>2752623</v>
      </c>
      <c r="G52" s="14">
        <v>0.67</v>
      </c>
      <c r="H52" s="14">
        <v>0.8</v>
      </c>
      <c r="I52" s="18">
        <v>182950.75166666668</v>
      </c>
      <c r="J52" s="15">
        <v>5</v>
      </c>
      <c r="K52" s="18">
        <v>942273.25166667195</v>
      </c>
      <c r="L52" s="18" t="s">
        <v>192</v>
      </c>
      <c r="M52" s="18" t="s">
        <v>192</v>
      </c>
      <c r="N52" s="198">
        <v>43647</v>
      </c>
      <c r="O52" s="16">
        <v>45839</v>
      </c>
      <c r="P52" s="13">
        <v>7074.16</v>
      </c>
      <c r="Q52" s="242" t="e">
        <v>#VALUE!</v>
      </c>
    </row>
    <row r="53" spans="1:17" x14ac:dyDescent="0.25">
      <c r="A53" s="36" t="s">
        <v>65</v>
      </c>
      <c r="B53" s="33">
        <v>43808641242.440002</v>
      </c>
      <c r="C53" s="13">
        <v>40482355989.519997</v>
      </c>
      <c r="D53" s="33">
        <v>3326285252.9200058</v>
      </c>
      <c r="E53" s="13">
        <v>976518579.95000005</v>
      </c>
      <c r="F53" s="13">
        <v>983528971</v>
      </c>
      <c r="G53" s="14">
        <v>3.38</v>
      </c>
      <c r="H53" s="14">
        <v>0.99</v>
      </c>
      <c r="I53" s="33">
        <v>81376548.329166666</v>
      </c>
      <c r="J53" s="34"/>
      <c r="K53" s="35"/>
      <c r="L53" s="35"/>
      <c r="M53" s="35"/>
      <c r="N53" s="35"/>
      <c r="O53" s="35"/>
      <c r="P53" s="33">
        <v>80757223.090000004</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34</v>
      </c>
      <c r="H56" s="25"/>
    </row>
    <row r="57" spans="1:17" ht="27" customHeight="1" thickBot="1" x14ac:dyDescent="0.3">
      <c r="D57" s="248" t="s">
        <v>67</v>
      </c>
      <c r="E57" s="249"/>
      <c r="F57" s="249"/>
      <c r="G57" s="27"/>
      <c r="H57" s="28">
        <v>30</v>
      </c>
    </row>
  </sheetData>
  <mergeCells count="2">
    <mergeCell ref="D56:F56"/>
    <mergeCell ref="D57:F57"/>
  </mergeCells>
  <conditionalFormatting sqref="G54">
    <cfRule type="cellIs" dxfId="237" priority="13" stopIfTrue="1" operator="greaterThan">
      <formula>2.5</formula>
    </cfRule>
    <cfRule type="cellIs" dxfId="236" priority="14" stopIfTrue="1" operator="between">
      <formula>2.01</formula>
      <formula>2.5</formula>
    </cfRule>
  </conditionalFormatting>
  <conditionalFormatting sqref="H3:H53">
    <cfRule type="cellIs" dxfId="235" priority="12" stopIfTrue="1" operator="lessThan">
      <formula>1</formula>
    </cfRule>
  </conditionalFormatting>
  <conditionalFormatting sqref="G3:G53">
    <cfRule type="cellIs" dxfId="234" priority="10" stopIfTrue="1" operator="greaterThan">
      <formula>2.5</formula>
    </cfRule>
    <cfRule type="cellIs" dxfId="233" priority="11" stopIfTrue="1" operator="between">
      <formula>2.01</formula>
      <formula>2.5</formula>
    </cfRule>
  </conditionalFormatting>
  <conditionalFormatting sqref="K3:K52">
    <cfRule type="cellIs" dxfId="232" priority="8" stopIfTrue="1" operator="greaterThan">
      <formula>$F3*2.5</formula>
    </cfRule>
    <cfRule type="cellIs" dxfId="231" priority="9" stopIfTrue="1" operator="between">
      <formula>$F3*2</formula>
      <formula>$F3*2.5</formula>
    </cfRule>
  </conditionalFormatting>
  <conditionalFormatting sqref="G54">
    <cfRule type="cellIs" dxfId="230" priority="6" stopIfTrue="1" operator="greaterThan">
      <formula>2.5</formula>
    </cfRule>
    <cfRule type="cellIs" dxfId="229" priority="7" stopIfTrue="1" operator="between">
      <formula>2.01</formula>
      <formula>2.5</formula>
    </cfRule>
  </conditionalFormatting>
  <conditionalFormatting sqref="H3:H53">
    <cfRule type="cellIs" dxfId="228" priority="5" stopIfTrue="1" operator="lessThan">
      <formula>1</formula>
    </cfRule>
  </conditionalFormatting>
  <conditionalFormatting sqref="G3:G53">
    <cfRule type="cellIs" dxfId="227" priority="3" stopIfTrue="1" operator="greaterThan">
      <formula>2.5</formula>
    </cfRule>
    <cfRule type="cellIs" dxfId="226" priority="4" stopIfTrue="1" operator="between">
      <formula>2.01</formula>
      <formula>2.5</formula>
    </cfRule>
  </conditionalFormatting>
  <conditionalFormatting sqref="K3:K52">
    <cfRule type="cellIs" dxfId="225" priority="1" stopIfTrue="1" operator="greaterThan">
      <formula>$F3*2.5</formula>
    </cfRule>
    <cfRule type="cellIs" dxfId="224"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03AA6-FA81-4417-88BF-E91179EC6014}">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289</v>
      </c>
      <c r="B1" s="196" t="s">
        <v>290</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62</v>
      </c>
      <c r="B3" s="13">
        <v>722479384.32000005</v>
      </c>
      <c r="C3" s="13">
        <v>644167439.55999994</v>
      </c>
      <c r="D3" s="13">
        <v>78311944.76000011</v>
      </c>
      <c r="E3" s="13">
        <v>12852931.449999999</v>
      </c>
      <c r="F3" s="13">
        <v>13783001</v>
      </c>
      <c r="G3" s="14">
        <v>5.68</v>
      </c>
      <c r="H3" s="14">
        <v>0.93</v>
      </c>
      <c r="I3" s="13">
        <v>1071077.6208333333</v>
      </c>
      <c r="J3" s="15">
        <v>4</v>
      </c>
      <c r="K3" s="13">
        <v>74027634.276666775</v>
      </c>
      <c r="L3" s="13">
        <v>12686485.690000027</v>
      </c>
      <c r="M3" s="13">
        <v>10963610.565000027</v>
      </c>
      <c r="N3" s="197">
        <v>43647</v>
      </c>
      <c r="O3" s="16">
        <v>45839</v>
      </c>
      <c r="P3" s="13">
        <v>704281.71</v>
      </c>
      <c r="Q3" s="243" t="e">
        <v>#VALUE!</v>
      </c>
    </row>
    <row r="4" spans="1:17" x14ac:dyDescent="0.2">
      <c r="A4" s="4" t="s">
        <v>46</v>
      </c>
      <c r="B4" s="13">
        <v>1834758280.3599999</v>
      </c>
      <c r="C4" s="13">
        <v>1574682443.5</v>
      </c>
      <c r="D4" s="13">
        <v>260075836.8599999</v>
      </c>
      <c r="E4" s="13">
        <v>45597926.380000003</v>
      </c>
      <c r="F4" s="13">
        <v>46162390</v>
      </c>
      <c r="G4" s="14">
        <v>5.63</v>
      </c>
      <c r="H4" s="14">
        <v>0.99</v>
      </c>
      <c r="I4" s="13">
        <v>3799827.1983333337</v>
      </c>
      <c r="J4" s="15">
        <v>-2</v>
      </c>
      <c r="K4" s="13" t="s">
        <v>193</v>
      </c>
      <c r="L4" s="13" t="s">
        <v>193</v>
      </c>
      <c r="M4" s="13" t="s">
        <v>193</v>
      </c>
      <c r="N4" s="197">
        <v>43831</v>
      </c>
      <c r="O4" s="16">
        <v>45658</v>
      </c>
      <c r="P4" s="13">
        <v>2396536.7400000002</v>
      </c>
      <c r="Q4" s="242" t="e">
        <v>#VALUE!</v>
      </c>
    </row>
    <row r="5" spans="1:17" x14ac:dyDescent="0.2">
      <c r="A5" s="4" t="s">
        <v>35</v>
      </c>
      <c r="B5" s="13">
        <v>1503333344.97</v>
      </c>
      <c r="C5" s="13">
        <v>1313767074.24</v>
      </c>
      <c r="D5" s="13">
        <v>189566270.73000002</v>
      </c>
      <c r="E5" s="13">
        <v>20314031.280000001</v>
      </c>
      <c r="F5" s="13">
        <v>34090474</v>
      </c>
      <c r="G5" s="14">
        <v>5.56</v>
      </c>
      <c r="H5" s="14">
        <v>0.6</v>
      </c>
      <c r="I5" s="13">
        <v>1692835.9400000002</v>
      </c>
      <c r="J5" s="15">
        <v>4</v>
      </c>
      <c r="K5" s="13">
        <v>182794926.97000003</v>
      </c>
      <c r="L5" s="13">
        <v>30346330.682500005</v>
      </c>
      <c r="M5" s="13">
        <v>26085021.432500005</v>
      </c>
      <c r="N5" s="197">
        <v>43647</v>
      </c>
      <c r="O5" s="16">
        <v>45839</v>
      </c>
      <c r="P5" s="13">
        <v>1100523.1200000001</v>
      </c>
      <c r="Q5" s="242" t="e">
        <v>#VALUE!</v>
      </c>
    </row>
    <row r="6" spans="1:17" x14ac:dyDescent="0.2">
      <c r="A6" s="4" t="s">
        <v>23</v>
      </c>
      <c r="B6" s="13">
        <v>1137390436.8499999</v>
      </c>
      <c r="C6" s="13">
        <v>1007391066.24</v>
      </c>
      <c r="D6" s="13">
        <v>129999370.6099999</v>
      </c>
      <c r="E6" s="13">
        <v>24356222.539999999</v>
      </c>
      <c r="F6" s="13">
        <v>24778539</v>
      </c>
      <c r="G6" s="14">
        <v>5.25</v>
      </c>
      <c r="H6" s="14">
        <v>0.98</v>
      </c>
      <c r="I6" s="13">
        <v>2029685.2116666667</v>
      </c>
      <c r="J6" s="15">
        <v>4</v>
      </c>
      <c r="K6" s="13">
        <v>121880629.76333323</v>
      </c>
      <c r="L6" s="13">
        <v>20110573.152499974</v>
      </c>
      <c r="M6" s="13">
        <v>17013255.777499974</v>
      </c>
      <c r="N6" s="197">
        <v>43647</v>
      </c>
      <c r="O6" s="16">
        <v>45839</v>
      </c>
      <c r="P6" s="13">
        <v>79014.259999999995</v>
      </c>
      <c r="Q6" s="242" t="e">
        <v>#VALUE!</v>
      </c>
    </row>
    <row r="7" spans="1:17" x14ac:dyDescent="0.2">
      <c r="A7" s="4" t="s">
        <v>64</v>
      </c>
      <c r="B7" s="13">
        <v>124445693.39</v>
      </c>
      <c r="C7" s="13">
        <v>108189336.29000001</v>
      </c>
      <c r="D7" s="13">
        <v>16256357.099999994</v>
      </c>
      <c r="E7" s="13">
        <v>3813612.3</v>
      </c>
      <c r="F7" s="13">
        <v>3545933</v>
      </c>
      <c r="G7" s="14">
        <v>4.58</v>
      </c>
      <c r="H7" s="14">
        <v>1.08</v>
      </c>
      <c r="I7" s="13">
        <v>317801.02499999997</v>
      </c>
      <c r="J7" s="15">
        <v>-2</v>
      </c>
      <c r="K7" s="13" t="s">
        <v>193</v>
      </c>
      <c r="L7" s="13" t="s">
        <v>193</v>
      </c>
      <c r="M7" s="13" t="s">
        <v>193</v>
      </c>
      <c r="N7" s="197">
        <v>43831</v>
      </c>
      <c r="O7" s="16">
        <v>45658</v>
      </c>
      <c r="P7" s="13">
        <v>516239.11</v>
      </c>
      <c r="Q7" s="242" t="e">
        <v>#VALUE!</v>
      </c>
    </row>
    <row r="8" spans="1:17" x14ac:dyDescent="0.2">
      <c r="A8" s="4" t="s">
        <v>44</v>
      </c>
      <c r="B8" s="13">
        <v>504504813</v>
      </c>
      <c r="C8" s="13">
        <v>454612095.89999998</v>
      </c>
      <c r="D8" s="13">
        <v>49892717.100000024</v>
      </c>
      <c r="E8" s="13">
        <v>10614657.65</v>
      </c>
      <c r="F8" s="13">
        <v>10946097</v>
      </c>
      <c r="G8" s="14">
        <v>4.5599999999999996</v>
      </c>
      <c r="H8" s="14">
        <v>0.97</v>
      </c>
      <c r="I8" s="13">
        <v>884554.8041666667</v>
      </c>
      <c r="J8" s="15">
        <v>-2</v>
      </c>
      <c r="K8" s="13" t="s">
        <v>193</v>
      </c>
      <c r="L8" s="13" t="s">
        <v>193</v>
      </c>
      <c r="M8" s="13" t="s">
        <v>193</v>
      </c>
      <c r="N8" s="197">
        <v>43831</v>
      </c>
      <c r="O8" s="16">
        <v>45658</v>
      </c>
      <c r="P8" s="13">
        <v>-113370.8</v>
      </c>
      <c r="Q8" s="242" t="e">
        <v>#VALUE!</v>
      </c>
    </row>
    <row r="9" spans="1:17" x14ac:dyDescent="0.2">
      <c r="A9" s="4" t="s">
        <v>36</v>
      </c>
      <c r="B9" s="13">
        <v>872347192</v>
      </c>
      <c r="C9" s="13">
        <v>789325324.66999996</v>
      </c>
      <c r="D9" s="13">
        <v>83021867.330000043</v>
      </c>
      <c r="E9" s="13">
        <v>15534345.630000001</v>
      </c>
      <c r="F9" s="13">
        <v>19090913</v>
      </c>
      <c r="G9" s="14">
        <v>4.3499999999999996</v>
      </c>
      <c r="H9" s="14">
        <v>0.81</v>
      </c>
      <c r="I9" s="13">
        <v>1294528.8025</v>
      </c>
      <c r="J9" s="15">
        <v>7</v>
      </c>
      <c r="K9" s="13">
        <v>73960165.712500036</v>
      </c>
      <c r="L9" s="13">
        <v>6405720.190000006</v>
      </c>
      <c r="M9" s="13">
        <v>5042083.5471428633</v>
      </c>
      <c r="N9" s="197">
        <v>43739</v>
      </c>
      <c r="O9" s="16">
        <v>45931</v>
      </c>
      <c r="P9" s="13">
        <v>1166607.01</v>
      </c>
      <c r="Q9" s="242" t="e">
        <v>#VALUE!</v>
      </c>
    </row>
    <row r="10" spans="1:17" x14ac:dyDescent="0.2">
      <c r="A10" s="4" t="s">
        <v>52</v>
      </c>
      <c r="B10" s="13">
        <v>1966895481</v>
      </c>
      <c r="C10" s="13">
        <v>1872609095.1600001</v>
      </c>
      <c r="D10" s="13">
        <v>94286385.839999914</v>
      </c>
      <c r="E10" s="13">
        <v>21730224.800000001</v>
      </c>
      <c r="F10" s="13">
        <v>21788490</v>
      </c>
      <c r="G10" s="14">
        <v>4.33</v>
      </c>
      <c r="H10" s="14">
        <v>1</v>
      </c>
      <c r="I10" s="13">
        <v>1810852.0666666667</v>
      </c>
      <c r="J10" s="15">
        <v>4</v>
      </c>
      <c r="K10" s="13">
        <v>87042977.573333248</v>
      </c>
      <c r="L10" s="13">
        <v>12677351.459999979</v>
      </c>
      <c r="M10" s="13">
        <v>9953790.2099999785</v>
      </c>
      <c r="N10" s="197">
        <v>43647</v>
      </c>
      <c r="O10" s="16">
        <v>45839</v>
      </c>
      <c r="P10" s="13">
        <v>1468000.26</v>
      </c>
      <c r="Q10" s="242" t="e">
        <v>#VALUE!</v>
      </c>
    </row>
    <row r="11" spans="1:17" x14ac:dyDescent="0.2">
      <c r="A11" s="4" t="s">
        <v>30</v>
      </c>
      <c r="B11" s="13">
        <v>1194714205.73</v>
      </c>
      <c r="C11" s="13">
        <v>1080209531.53</v>
      </c>
      <c r="D11" s="13">
        <v>114504674.20000005</v>
      </c>
      <c r="E11" s="13">
        <v>21758663.640000001</v>
      </c>
      <c r="F11" s="13">
        <v>26571929</v>
      </c>
      <c r="G11" s="14">
        <v>4.3099999999999996</v>
      </c>
      <c r="H11" s="14">
        <v>0.82</v>
      </c>
      <c r="I11" s="13">
        <v>1813221.97</v>
      </c>
      <c r="J11" s="15">
        <v>4</v>
      </c>
      <c r="K11" s="13">
        <v>107251786.32000005</v>
      </c>
      <c r="L11" s="13">
        <v>15340204.050000012</v>
      </c>
      <c r="M11" s="13">
        <v>12018712.925000012</v>
      </c>
      <c r="N11" s="197">
        <v>43647</v>
      </c>
      <c r="O11" s="16">
        <v>45839</v>
      </c>
      <c r="P11" s="13">
        <v>1924073.02</v>
      </c>
      <c r="Q11" s="242" t="e">
        <v>#VALUE!</v>
      </c>
    </row>
    <row r="12" spans="1:17" x14ac:dyDescent="0.2">
      <c r="A12" s="4" t="s">
        <v>47</v>
      </c>
      <c r="B12" s="13">
        <v>190999038.36000001</v>
      </c>
      <c r="C12" s="13">
        <v>175710265.75</v>
      </c>
      <c r="D12" s="13">
        <v>15288772.610000014</v>
      </c>
      <c r="E12" s="13">
        <v>3386452.58</v>
      </c>
      <c r="F12" s="13">
        <v>3551615</v>
      </c>
      <c r="G12" s="14">
        <v>4.3</v>
      </c>
      <c r="H12" s="14">
        <v>0.95</v>
      </c>
      <c r="I12" s="13">
        <v>282204.38166666665</v>
      </c>
      <c r="J12" s="15">
        <v>4</v>
      </c>
      <c r="K12" s="13">
        <v>14159955.083333347</v>
      </c>
      <c r="L12" s="13">
        <v>2046385.6525000036</v>
      </c>
      <c r="M12" s="13">
        <v>1602433.7775000036</v>
      </c>
      <c r="N12" s="197">
        <v>43647</v>
      </c>
      <c r="O12" s="16">
        <v>45839</v>
      </c>
      <c r="P12" s="13">
        <v>497592.93</v>
      </c>
      <c r="Q12" s="242" t="e">
        <v>#VALUE!</v>
      </c>
    </row>
    <row r="13" spans="1:17" x14ac:dyDescent="0.2">
      <c r="A13" s="4" t="s">
        <v>40</v>
      </c>
      <c r="B13" s="13">
        <v>511163315.91000003</v>
      </c>
      <c r="C13" s="13">
        <v>465755541.32999998</v>
      </c>
      <c r="D13" s="13">
        <v>45407774.580000043</v>
      </c>
      <c r="E13" s="13">
        <v>5423764.4199999999</v>
      </c>
      <c r="F13" s="13">
        <v>10598087</v>
      </c>
      <c r="G13" s="14">
        <v>4.28</v>
      </c>
      <c r="H13" s="14">
        <v>0.51</v>
      </c>
      <c r="I13" s="13">
        <v>451980.36833333335</v>
      </c>
      <c r="J13" s="15">
        <v>4</v>
      </c>
      <c r="K13" s="13">
        <v>43599853.106666707</v>
      </c>
      <c r="L13" s="13">
        <v>6052900.1450000107</v>
      </c>
      <c r="M13" s="13">
        <v>4728139.2700000107</v>
      </c>
      <c r="N13" s="197">
        <v>43647</v>
      </c>
      <c r="O13" s="16">
        <v>45839</v>
      </c>
      <c r="P13" s="13">
        <v>959178.23</v>
      </c>
      <c r="Q13" s="242" t="e">
        <v>#VALUE!</v>
      </c>
    </row>
    <row r="14" spans="1:17" x14ac:dyDescent="0.2">
      <c r="A14" s="4" t="s">
        <v>39</v>
      </c>
      <c r="B14" s="13">
        <v>271317340</v>
      </c>
      <c r="C14" s="13">
        <v>244890369.69</v>
      </c>
      <c r="D14" s="13">
        <v>26426970.310000002</v>
      </c>
      <c r="E14" s="13">
        <v>7173594.4199999999</v>
      </c>
      <c r="F14" s="13">
        <v>6196840</v>
      </c>
      <c r="G14" s="14">
        <v>4.26</v>
      </c>
      <c r="H14" s="14">
        <v>1.1599999999999999</v>
      </c>
      <c r="I14" s="13">
        <v>597799.53500000003</v>
      </c>
      <c r="J14" s="15">
        <v>1</v>
      </c>
      <c r="K14" s="13">
        <v>25829170.775000002</v>
      </c>
      <c r="L14" s="13">
        <v>14033290.310000002</v>
      </c>
      <c r="M14" s="13">
        <v>10934870.310000002</v>
      </c>
      <c r="N14" s="197">
        <v>43922</v>
      </c>
      <c r="O14" s="16">
        <v>45748</v>
      </c>
      <c r="P14" s="13">
        <v>184924.21</v>
      </c>
      <c r="Q14" s="242" t="e">
        <v>#VALUE!</v>
      </c>
    </row>
    <row r="15" spans="1:17" x14ac:dyDescent="0.2">
      <c r="A15" s="4" t="s">
        <v>60</v>
      </c>
      <c r="B15" s="13">
        <v>813673223</v>
      </c>
      <c r="C15" s="13">
        <v>731191156.86000001</v>
      </c>
      <c r="D15" s="13">
        <v>82482066.139999986</v>
      </c>
      <c r="E15" s="13">
        <v>13100580.74</v>
      </c>
      <c r="F15" s="13">
        <v>19453948</v>
      </c>
      <c r="G15" s="14">
        <v>4.24</v>
      </c>
      <c r="H15" s="14">
        <v>0.67</v>
      </c>
      <c r="I15" s="13">
        <v>1091715.0616666668</v>
      </c>
      <c r="J15" s="15">
        <v>4</v>
      </c>
      <c r="K15" s="13">
        <v>78115205.893333316</v>
      </c>
      <c r="L15" s="13">
        <v>10893542.534999996</v>
      </c>
      <c r="M15" s="13">
        <v>8461799.0349999964</v>
      </c>
      <c r="N15" s="197">
        <v>43647</v>
      </c>
      <c r="O15" s="16">
        <v>45839</v>
      </c>
      <c r="P15" s="13">
        <v>1239744.1200000001</v>
      </c>
      <c r="Q15" s="242" t="e">
        <v>#VALUE!</v>
      </c>
    </row>
    <row r="16" spans="1:17" x14ac:dyDescent="0.2">
      <c r="A16" s="4" t="s">
        <v>16</v>
      </c>
      <c r="B16" s="13">
        <v>107063879</v>
      </c>
      <c r="C16" s="13">
        <v>96109526.719999999</v>
      </c>
      <c r="D16" s="13">
        <v>10954352.280000001</v>
      </c>
      <c r="E16" s="13">
        <v>1273883.92</v>
      </c>
      <c r="F16" s="13">
        <v>2669761</v>
      </c>
      <c r="G16" s="14">
        <v>4.0999999999999996</v>
      </c>
      <c r="H16" s="14">
        <v>0.48</v>
      </c>
      <c r="I16" s="13">
        <v>106156.99333333333</v>
      </c>
      <c r="J16" s="15">
        <v>4</v>
      </c>
      <c r="K16" s="13">
        <v>10529724.306666669</v>
      </c>
      <c r="L16" s="13">
        <v>1403707.5700000003</v>
      </c>
      <c r="M16" s="13">
        <v>1069987.4450000003</v>
      </c>
      <c r="N16" s="197">
        <v>43647</v>
      </c>
      <c r="O16" s="16">
        <v>45839</v>
      </c>
      <c r="P16" s="13">
        <v>421516.37</v>
      </c>
      <c r="Q16" s="242" t="e">
        <v>#VALUE!</v>
      </c>
    </row>
    <row r="17" spans="1:17" x14ac:dyDescent="0.2">
      <c r="A17" s="4" t="s">
        <v>43</v>
      </c>
      <c r="B17" s="13">
        <v>307409614.24000001</v>
      </c>
      <c r="C17" s="13">
        <v>280249616.88</v>
      </c>
      <c r="D17" s="13">
        <v>27159997.360000014</v>
      </c>
      <c r="E17" s="13">
        <v>7331749.7599999998</v>
      </c>
      <c r="F17" s="13">
        <v>6878551</v>
      </c>
      <c r="G17" s="14">
        <v>3.95</v>
      </c>
      <c r="H17" s="14">
        <v>1.07</v>
      </c>
      <c r="I17" s="13">
        <v>610979.14666666661</v>
      </c>
      <c r="J17" s="15">
        <v>4</v>
      </c>
      <c r="K17" s="13">
        <v>24716080.773333348</v>
      </c>
      <c r="L17" s="13">
        <v>3350723.8400000036</v>
      </c>
      <c r="M17" s="13">
        <v>2490904.9650000036</v>
      </c>
      <c r="N17" s="197">
        <v>43647</v>
      </c>
      <c r="O17" s="16">
        <v>45839</v>
      </c>
      <c r="P17" s="13">
        <v>50075.94</v>
      </c>
      <c r="Q17" s="242" t="e">
        <v>#VALUE!</v>
      </c>
    </row>
    <row r="18" spans="1:17" x14ac:dyDescent="0.2">
      <c r="A18" s="4" t="s">
        <v>19</v>
      </c>
      <c r="B18" s="13">
        <v>1468177330.9100001</v>
      </c>
      <c r="C18" s="13">
        <v>1352019142.3900001</v>
      </c>
      <c r="D18" s="13">
        <v>116158188.51999998</v>
      </c>
      <c r="E18" s="13">
        <v>36084559.100000001</v>
      </c>
      <c r="F18" s="13">
        <v>29748591</v>
      </c>
      <c r="G18" s="14">
        <v>3.9</v>
      </c>
      <c r="H18" s="14">
        <v>1.21</v>
      </c>
      <c r="I18" s="13">
        <v>3007046.5916666668</v>
      </c>
      <c r="J18" s="15">
        <v>4</v>
      </c>
      <c r="K18" s="13">
        <v>104130002.15333331</v>
      </c>
      <c r="L18" s="13">
        <v>14165251.629999995</v>
      </c>
      <c r="M18" s="13">
        <v>10446677.754999995</v>
      </c>
      <c r="N18" s="197">
        <v>43647</v>
      </c>
      <c r="O18" s="16">
        <v>45839</v>
      </c>
      <c r="P18" s="13">
        <v>5969336.5800000001</v>
      </c>
      <c r="Q18" s="242" t="e">
        <v>#VALUE!</v>
      </c>
    </row>
    <row r="19" spans="1:17" x14ac:dyDescent="0.2">
      <c r="A19" s="4" t="s">
        <v>54</v>
      </c>
      <c r="B19" s="13">
        <v>1042589157.45</v>
      </c>
      <c r="C19" s="13">
        <v>965428978.20000005</v>
      </c>
      <c r="D19" s="13">
        <v>77160179.25</v>
      </c>
      <c r="E19" s="13">
        <v>21934475.969999999</v>
      </c>
      <c r="F19" s="13">
        <v>20158365</v>
      </c>
      <c r="G19" s="14">
        <v>3.83</v>
      </c>
      <c r="H19" s="14">
        <v>1.0900000000000001</v>
      </c>
      <c r="I19" s="13">
        <v>1827872.9974999998</v>
      </c>
      <c r="J19" s="15">
        <v>1</v>
      </c>
      <c r="K19" s="13">
        <v>75332306.252499998</v>
      </c>
      <c r="L19" s="13">
        <v>36843449.25</v>
      </c>
      <c r="M19" s="13">
        <v>26764266.75</v>
      </c>
      <c r="N19" s="197">
        <v>43922</v>
      </c>
      <c r="O19" s="16">
        <v>45748</v>
      </c>
      <c r="P19" s="13">
        <v>713277</v>
      </c>
      <c r="Q19" s="242" t="e">
        <v>#VALUE!</v>
      </c>
    </row>
    <row r="20" spans="1:17" x14ac:dyDescent="0.2">
      <c r="A20" s="4" t="s">
        <v>38</v>
      </c>
      <c r="B20" s="13">
        <v>1033187132</v>
      </c>
      <c r="C20" s="13">
        <v>951827769.28999996</v>
      </c>
      <c r="D20" s="13">
        <v>81359362.710000038</v>
      </c>
      <c r="E20" s="13">
        <v>24374675.960000001</v>
      </c>
      <c r="F20" s="13">
        <v>22862412</v>
      </c>
      <c r="G20" s="14">
        <v>3.56</v>
      </c>
      <c r="H20" s="14">
        <v>1.07</v>
      </c>
      <c r="I20" s="13">
        <v>2031222.9966666668</v>
      </c>
      <c r="J20" s="15">
        <v>1</v>
      </c>
      <c r="K20" s="13">
        <v>79328139.713333368</v>
      </c>
      <c r="L20" s="13">
        <v>35634538.710000038</v>
      </c>
      <c r="M20" s="13">
        <v>24203332.710000038</v>
      </c>
      <c r="N20" s="197">
        <v>43922</v>
      </c>
      <c r="O20" s="16">
        <v>45748</v>
      </c>
      <c r="P20" s="13">
        <v>2955638.48</v>
      </c>
      <c r="Q20" s="242" t="e">
        <v>#VALUE!</v>
      </c>
    </row>
    <row r="21" spans="1:17" x14ac:dyDescent="0.2">
      <c r="A21" s="4" t="s">
        <v>26</v>
      </c>
      <c r="B21" s="13">
        <v>1336269126.0599999</v>
      </c>
      <c r="C21" s="13">
        <v>1235064593.8599999</v>
      </c>
      <c r="D21" s="13">
        <v>101204532.20000005</v>
      </c>
      <c r="E21" s="13">
        <v>49652842.850000001</v>
      </c>
      <c r="F21" s="13">
        <v>29074134</v>
      </c>
      <c r="G21" s="14">
        <v>3.48</v>
      </c>
      <c r="H21" s="14">
        <v>1.71</v>
      </c>
      <c r="I21" s="13">
        <v>4137736.9041666668</v>
      </c>
      <c r="J21" s="15">
        <v>-2</v>
      </c>
      <c r="K21" s="13" t="s">
        <v>193</v>
      </c>
      <c r="L21" s="13" t="s">
        <v>193</v>
      </c>
      <c r="M21" s="13" t="s">
        <v>193</v>
      </c>
      <c r="N21" s="197">
        <v>43831</v>
      </c>
      <c r="O21" s="16">
        <v>45658</v>
      </c>
      <c r="P21" s="13">
        <v>5292936.53</v>
      </c>
      <c r="Q21" s="242" t="e">
        <v>#VALUE!</v>
      </c>
    </row>
    <row r="22" spans="1:17" x14ac:dyDescent="0.2">
      <c r="A22" s="4" t="s">
        <v>28</v>
      </c>
      <c r="B22" s="13">
        <v>1083940953</v>
      </c>
      <c r="C22" s="13">
        <v>1001895984.89</v>
      </c>
      <c r="D22" s="13">
        <v>82044968.110000014</v>
      </c>
      <c r="E22" s="13">
        <v>21127968.390000001</v>
      </c>
      <c r="F22" s="13">
        <v>24208645</v>
      </c>
      <c r="G22" s="14">
        <v>3.39</v>
      </c>
      <c r="H22" s="14">
        <v>0.87</v>
      </c>
      <c r="I22" s="13">
        <v>1760664.0325</v>
      </c>
      <c r="J22" s="15">
        <v>-2</v>
      </c>
      <c r="K22" s="13" t="s">
        <v>193</v>
      </c>
      <c r="L22" s="13" t="s">
        <v>193</v>
      </c>
      <c r="M22" s="13" t="s">
        <v>193</v>
      </c>
      <c r="N22" s="197">
        <v>43831</v>
      </c>
      <c r="O22" s="16">
        <v>45658</v>
      </c>
      <c r="P22" s="13">
        <v>1472218.5</v>
      </c>
      <c r="Q22" s="242" t="e">
        <v>#VALUE!</v>
      </c>
    </row>
    <row r="23" spans="1:17" x14ac:dyDescent="0.2">
      <c r="A23" s="4" t="s">
        <v>45</v>
      </c>
      <c r="B23" s="13">
        <v>1276422533.53</v>
      </c>
      <c r="C23" s="13">
        <v>1115835226.5999999</v>
      </c>
      <c r="D23" s="13">
        <v>160587306.93000007</v>
      </c>
      <c r="E23" s="13">
        <v>38555909.200000003</v>
      </c>
      <c r="F23" s="13">
        <v>47644860</v>
      </c>
      <c r="G23" s="14">
        <v>3.37</v>
      </c>
      <c r="H23" s="14">
        <v>0.81</v>
      </c>
      <c r="I23" s="13">
        <v>3212992.4333333336</v>
      </c>
      <c r="J23" s="15">
        <v>-2</v>
      </c>
      <c r="K23" s="13" t="s">
        <v>193</v>
      </c>
      <c r="L23" s="13" t="s">
        <v>193</v>
      </c>
      <c r="M23" s="13" t="s">
        <v>193</v>
      </c>
      <c r="N23" s="197">
        <v>43831</v>
      </c>
      <c r="O23" s="16">
        <v>45658</v>
      </c>
      <c r="P23" s="13">
        <v>4554462.55</v>
      </c>
      <c r="Q23" s="242" t="e">
        <v>#VALUE!</v>
      </c>
    </row>
    <row r="24" spans="1:17" x14ac:dyDescent="0.2">
      <c r="A24" s="4" t="s">
        <v>51</v>
      </c>
      <c r="B24" s="13">
        <v>2041893568.29</v>
      </c>
      <c r="C24" s="13">
        <v>1904597855.5599999</v>
      </c>
      <c r="D24" s="13">
        <v>137295712.73000002</v>
      </c>
      <c r="E24" s="13">
        <v>38008459.619999997</v>
      </c>
      <c r="F24" s="13">
        <v>40828727</v>
      </c>
      <c r="G24" s="14">
        <v>3.36</v>
      </c>
      <c r="H24" s="14">
        <v>0.93</v>
      </c>
      <c r="I24" s="13">
        <v>3167371.6349999998</v>
      </c>
      <c r="J24" s="15">
        <v>-2</v>
      </c>
      <c r="K24" s="13" t="s">
        <v>193</v>
      </c>
      <c r="L24" s="13" t="s">
        <v>193</v>
      </c>
      <c r="M24" s="13" t="s">
        <v>193</v>
      </c>
      <c r="N24" s="197">
        <v>43831</v>
      </c>
      <c r="O24" s="16">
        <v>45658</v>
      </c>
      <c r="P24" s="13">
        <v>7324763.6900000004</v>
      </c>
      <c r="Q24" s="242" t="e">
        <v>#VALUE!</v>
      </c>
    </row>
    <row r="25" spans="1:17" x14ac:dyDescent="0.2">
      <c r="A25" s="4" t="s">
        <v>29</v>
      </c>
      <c r="B25" s="13">
        <v>689945660</v>
      </c>
      <c r="C25" s="13">
        <v>640171330.62</v>
      </c>
      <c r="D25" s="13">
        <v>49774329.379999995</v>
      </c>
      <c r="E25" s="13">
        <v>9671633.9499999993</v>
      </c>
      <c r="F25" s="13">
        <v>14901309</v>
      </c>
      <c r="G25" s="14">
        <v>3.34</v>
      </c>
      <c r="H25" s="14">
        <v>0.65</v>
      </c>
      <c r="I25" s="13">
        <v>805969.49583333323</v>
      </c>
      <c r="J25" s="15">
        <v>-2</v>
      </c>
      <c r="K25" s="13" t="s">
        <v>193</v>
      </c>
      <c r="L25" s="13" t="s">
        <v>193</v>
      </c>
      <c r="M25" s="13" t="s">
        <v>193</v>
      </c>
      <c r="N25" s="197">
        <v>43466</v>
      </c>
      <c r="O25" s="16">
        <v>45658</v>
      </c>
      <c r="P25" s="13">
        <v>700109.16</v>
      </c>
      <c r="Q25" s="242" t="e">
        <v>#VALUE!</v>
      </c>
    </row>
    <row r="26" spans="1:17" x14ac:dyDescent="0.2">
      <c r="A26" s="4" t="s">
        <v>21</v>
      </c>
      <c r="B26" s="13">
        <v>542289730.02999997</v>
      </c>
      <c r="C26" s="13">
        <v>495853841.98000002</v>
      </c>
      <c r="D26" s="13">
        <v>46435888.049999952</v>
      </c>
      <c r="E26" s="13">
        <v>10835481.92</v>
      </c>
      <c r="F26" s="13">
        <v>13960891</v>
      </c>
      <c r="G26" s="14">
        <v>3.33</v>
      </c>
      <c r="H26" s="14">
        <v>0.78</v>
      </c>
      <c r="I26" s="13">
        <v>902956.82666666666</v>
      </c>
      <c r="J26" s="15">
        <v>4</v>
      </c>
      <c r="K26" s="13">
        <v>42824060.743333288</v>
      </c>
      <c r="L26" s="13">
        <v>4628526.5124999881</v>
      </c>
      <c r="M26" s="13">
        <v>2883415.1374999881</v>
      </c>
      <c r="N26" s="197">
        <v>43647</v>
      </c>
      <c r="O26" s="16">
        <v>45839</v>
      </c>
      <c r="P26" s="13">
        <v>0</v>
      </c>
      <c r="Q26" s="242" t="e">
        <v>#VALUE!</v>
      </c>
    </row>
    <row r="27" spans="1:17" x14ac:dyDescent="0.2">
      <c r="A27" s="4" t="s">
        <v>24</v>
      </c>
      <c r="B27" s="13">
        <v>1683242657.0699999</v>
      </c>
      <c r="C27" s="13">
        <v>1549544756.9200001</v>
      </c>
      <c r="D27" s="13">
        <v>133697900.14999986</v>
      </c>
      <c r="E27" s="13">
        <v>38131539.109999999</v>
      </c>
      <c r="F27" s="13">
        <v>40945091</v>
      </c>
      <c r="G27" s="14">
        <v>3.27</v>
      </c>
      <c r="H27" s="14">
        <v>0.93</v>
      </c>
      <c r="I27" s="13">
        <v>3177628.2591666668</v>
      </c>
      <c r="J27" s="15">
        <v>4</v>
      </c>
      <c r="K27" s="13">
        <v>120987387.1133332</v>
      </c>
      <c r="L27" s="13">
        <v>12951929.537499964</v>
      </c>
      <c r="M27" s="13">
        <v>7833793.1624999642</v>
      </c>
      <c r="N27" s="197">
        <v>43647</v>
      </c>
      <c r="O27" s="16">
        <v>45839</v>
      </c>
      <c r="P27" s="13">
        <v>965091.66</v>
      </c>
      <c r="Q27" s="242" t="e">
        <v>#VALUE!</v>
      </c>
    </row>
    <row r="28" spans="1:17" x14ac:dyDescent="0.2">
      <c r="A28" s="4" t="s">
        <v>56</v>
      </c>
      <c r="B28" s="13">
        <v>1182377479</v>
      </c>
      <c r="C28" s="13">
        <v>1095538210.46</v>
      </c>
      <c r="D28" s="13">
        <v>86839268.539999962</v>
      </c>
      <c r="E28" s="13">
        <v>21059549.66</v>
      </c>
      <c r="F28" s="13">
        <v>27472066</v>
      </c>
      <c r="G28" s="14">
        <v>3.16</v>
      </c>
      <c r="H28" s="14">
        <v>0.77</v>
      </c>
      <c r="I28" s="13">
        <v>1754962.4716666667</v>
      </c>
      <c r="J28" s="15">
        <v>4</v>
      </c>
      <c r="K28" s="13">
        <v>79819418.653333291</v>
      </c>
      <c r="L28" s="13">
        <v>7973784.1349999905</v>
      </c>
      <c r="M28" s="13">
        <v>4539775.8849999905</v>
      </c>
      <c r="N28" s="197">
        <v>43647</v>
      </c>
      <c r="O28" s="16">
        <v>45839</v>
      </c>
      <c r="P28" s="13">
        <v>1239345.54</v>
      </c>
      <c r="Q28" s="242" t="e">
        <v>#VALUE!</v>
      </c>
    </row>
    <row r="29" spans="1:17" x14ac:dyDescent="0.2">
      <c r="A29" s="4" t="s">
        <v>53</v>
      </c>
      <c r="B29" s="13">
        <v>203184641.25</v>
      </c>
      <c r="C29" s="13">
        <v>186600750.56</v>
      </c>
      <c r="D29" s="13">
        <v>16583890.689999998</v>
      </c>
      <c r="E29" s="13">
        <v>10711160.199999999</v>
      </c>
      <c r="F29" s="13">
        <v>5655134</v>
      </c>
      <c r="G29" s="14">
        <v>2.93</v>
      </c>
      <c r="H29" s="14">
        <v>1.89</v>
      </c>
      <c r="I29" s="13">
        <v>892596.68333333323</v>
      </c>
      <c r="J29" s="15">
        <v>4</v>
      </c>
      <c r="K29" s="13">
        <v>13013503.956666665</v>
      </c>
      <c r="L29" s="13">
        <v>1318405.6724999994</v>
      </c>
      <c r="M29" s="13" t="s">
        <v>192</v>
      </c>
      <c r="N29" s="197">
        <v>43647</v>
      </c>
      <c r="O29" s="16">
        <v>45839</v>
      </c>
      <c r="P29" s="13">
        <v>0</v>
      </c>
      <c r="Q29" s="242" t="e">
        <v>#VALUE!</v>
      </c>
    </row>
    <row r="30" spans="1:17" x14ac:dyDescent="0.2">
      <c r="A30" s="4" t="s">
        <v>42</v>
      </c>
      <c r="B30" s="13">
        <v>355494147</v>
      </c>
      <c r="C30" s="13">
        <v>327989557.51999998</v>
      </c>
      <c r="D30" s="13">
        <v>27504589.480000019</v>
      </c>
      <c r="E30" s="13">
        <v>7399398.4100000001</v>
      </c>
      <c r="F30" s="13">
        <v>9435207</v>
      </c>
      <c r="G30" s="14">
        <v>2.92</v>
      </c>
      <c r="H30" s="14">
        <v>0.78</v>
      </c>
      <c r="I30" s="13">
        <v>616616.53416666668</v>
      </c>
      <c r="J30" s="15">
        <v>-2</v>
      </c>
      <c r="K30" s="13" t="s">
        <v>193</v>
      </c>
      <c r="L30" s="13" t="s">
        <v>193</v>
      </c>
      <c r="M30" s="13" t="s">
        <v>193</v>
      </c>
      <c r="N30" s="197">
        <v>43831</v>
      </c>
      <c r="O30" s="16">
        <v>45658</v>
      </c>
      <c r="P30" s="13">
        <v>1203852.4099999999</v>
      </c>
      <c r="Q30" s="242" t="e">
        <v>#VALUE!</v>
      </c>
    </row>
    <row r="31" spans="1:17" x14ac:dyDescent="0.2">
      <c r="A31" s="4" t="s">
        <v>61</v>
      </c>
      <c r="B31" s="13">
        <v>535148479</v>
      </c>
      <c r="C31" s="13">
        <v>496928157.35000002</v>
      </c>
      <c r="D31" s="13">
        <v>38220321.649999976</v>
      </c>
      <c r="E31" s="13">
        <v>10677673.6</v>
      </c>
      <c r="F31" s="13">
        <v>13099382</v>
      </c>
      <c r="G31" s="14">
        <v>2.92</v>
      </c>
      <c r="H31" s="14">
        <v>0.82</v>
      </c>
      <c r="I31" s="13">
        <v>889806.1333333333</v>
      </c>
      <c r="J31" s="15">
        <v>4</v>
      </c>
      <c r="K31" s="13">
        <v>34661097.116666645</v>
      </c>
      <c r="L31" s="13">
        <v>3005389.412499994</v>
      </c>
      <c r="M31" s="13">
        <v>1367966.662499994</v>
      </c>
      <c r="N31" s="197">
        <v>43647</v>
      </c>
      <c r="O31" s="16">
        <v>45839</v>
      </c>
      <c r="P31" s="13">
        <v>444347.4</v>
      </c>
      <c r="Q31" s="242" t="e">
        <v>#VALUE!</v>
      </c>
    </row>
    <row r="32" spans="1:17" x14ac:dyDescent="0.2">
      <c r="A32" s="4" t="s">
        <v>27</v>
      </c>
      <c r="B32" s="13">
        <v>1340428223.5599999</v>
      </c>
      <c r="C32" s="13">
        <v>1254164655.8800001</v>
      </c>
      <c r="D32" s="13">
        <v>86263567.679999828</v>
      </c>
      <c r="E32" s="13">
        <v>24484679.129999999</v>
      </c>
      <c r="F32" s="13">
        <v>30689455</v>
      </c>
      <c r="G32" s="14">
        <v>2.81</v>
      </c>
      <c r="H32" s="14">
        <v>0.8</v>
      </c>
      <c r="I32" s="13">
        <v>2040389.9275</v>
      </c>
      <c r="J32" s="15">
        <v>4</v>
      </c>
      <c r="K32" s="13">
        <v>78102007.969999835</v>
      </c>
      <c r="L32" s="13">
        <v>6221164.4199999571</v>
      </c>
      <c r="M32" s="13">
        <v>2384982.5449999571</v>
      </c>
      <c r="N32" s="197">
        <v>43647</v>
      </c>
      <c r="O32" s="16">
        <v>45839</v>
      </c>
      <c r="P32" s="13">
        <v>2011893.02</v>
      </c>
      <c r="Q32" s="242" t="e">
        <v>#VALUE!</v>
      </c>
    </row>
    <row r="33" spans="1:17" x14ac:dyDescent="0.2">
      <c r="A33" s="4" t="s">
        <v>57</v>
      </c>
      <c r="B33" s="13">
        <v>2950491414.54</v>
      </c>
      <c r="C33" s="13">
        <v>2750788022.6799998</v>
      </c>
      <c r="D33" s="13">
        <v>199703391.86000013</v>
      </c>
      <c r="E33" s="13">
        <v>71710351.549999997</v>
      </c>
      <c r="F33" s="13">
        <v>71178309</v>
      </c>
      <c r="G33" s="14">
        <v>2.81</v>
      </c>
      <c r="H33" s="14">
        <v>1.01</v>
      </c>
      <c r="I33" s="13">
        <v>5975862.6291666664</v>
      </c>
      <c r="J33" s="15">
        <v>6</v>
      </c>
      <c r="K33" s="13">
        <v>163848216.08500013</v>
      </c>
      <c r="L33" s="13">
        <v>9557795.643333355</v>
      </c>
      <c r="M33" s="13" t="s">
        <v>192</v>
      </c>
      <c r="N33" s="197">
        <v>44075</v>
      </c>
      <c r="O33" s="16">
        <v>45901</v>
      </c>
      <c r="P33" s="13">
        <v>4133858.79</v>
      </c>
      <c r="Q33" s="242" t="e">
        <v>#VALUE!</v>
      </c>
    </row>
    <row r="34" spans="1:17" x14ac:dyDescent="0.2">
      <c r="A34" s="4" t="s">
        <v>20</v>
      </c>
      <c r="B34" s="13">
        <v>392596167.93000001</v>
      </c>
      <c r="C34" s="13">
        <v>366560432.92000002</v>
      </c>
      <c r="D34" s="13">
        <v>26035735.00999999</v>
      </c>
      <c r="E34" s="13">
        <v>10799952.93</v>
      </c>
      <c r="F34" s="13">
        <v>9305817</v>
      </c>
      <c r="G34" s="14">
        <v>2.8</v>
      </c>
      <c r="H34" s="14">
        <v>1.1599999999999999</v>
      </c>
      <c r="I34" s="13">
        <v>899996.07750000001</v>
      </c>
      <c r="J34" s="15">
        <v>1</v>
      </c>
      <c r="K34" s="13">
        <v>25135738.93249999</v>
      </c>
      <c r="L34" s="13">
        <v>7424101.0099999905</v>
      </c>
      <c r="M34" s="13">
        <v>2771192.5099999905</v>
      </c>
      <c r="N34" s="197">
        <v>43556</v>
      </c>
      <c r="O34" s="16">
        <v>45748</v>
      </c>
      <c r="P34" s="13">
        <v>-362585.16</v>
      </c>
      <c r="Q34" s="242" t="e">
        <v>#VALUE!</v>
      </c>
    </row>
    <row r="35" spans="1:17" x14ac:dyDescent="0.2">
      <c r="A35" s="4" t="s">
        <v>15</v>
      </c>
      <c r="B35" s="13">
        <v>1108314599.5</v>
      </c>
      <c r="C35" s="13">
        <v>1045552119.35</v>
      </c>
      <c r="D35" s="13">
        <v>62762480.149999976</v>
      </c>
      <c r="E35" s="13">
        <v>21787445.899999999</v>
      </c>
      <c r="F35" s="13">
        <v>23039495</v>
      </c>
      <c r="G35" s="14">
        <v>2.72</v>
      </c>
      <c r="H35" s="14">
        <v>0.95</v>
      </c>
      <c r="I35" s="13">
        <v>1815620.4916666665</v>
      </c>
      <c r="J35" s="15">
        <v>1</v>
      </c>
      <c r="K35" s="13">
        <v>60946859.658333309</v>
      </c>
      <c r="L35" s="13">
        <v>16683490.149999976</v>
      </c>
      <c r="M35" s="13">
        <v>5163742.6499999762</v>
      </c>
      <c r="N35" s="197">
        <v>43556</v>
      </c>
      <c r="O35" s="16">
        <v>45748</v>
      </c>
      <c r="P35" s="13">
        <v>1257732.8999999999</v>
      </c>
      <c r="Q35" s="242" t="e">
        <v>#VALUE!</v>
      </c>
    </row>
    <row r="36" spans="1:17" x14ac:dyDescent="0.2">
      <c r="A36" s="4" t="s">
        <v>31</v>
      </c>
      <c r="B36" s="13">
        <v>1227877221</v>
      </c>
      <c r="C36" s="13">
        <v>1168602681.4300001</v>
      </c>
      <c r="D36" s="13">
        <v>59274539.569999933</v>
      </c>
      <c r="E36" s="13">
        <v>21761423.52</v>
      </c>
      <c r="F36" s="13">
        <v>22761731</v>
      </c>
      <c r="G36" s="14">
        <v>2.6</v>
      </c>
      <c r="H36" s="14">
        <v>0.96</v>
      </c>
      <c r="I36" s="13">
        <v>1813451.96</v>
      </c>
      <c r="J36" s="15">
        <v>1</v>
      </c>
      <c r="K36" s="13">
        <v>57461087.609999932</v>
      </c>
      <c r="L36" s="13">
        <v>13751077.569999933</v>
      </c>
      <c r="M36" s="13">
        <v>2370212.0699999332</v>
      </c>
      <c r="N36" s="197">
        <v>43922</v>
      </c>
      <c r="O36" s="16">
        <v>45748</v>
      </c>
      <c r="P36" s="13">
        <v>3536217.11</v>
      </c>
      <c r="Q36" s="242" t="e">
        <v>#VALUE!</v>
      </c>
    </row>
    <row r="37" spans="1:17" x14ac:dyDescent="0.2">
      <c r="A37" s="4" t="s">
        <v>25</v>
      </c>
      <c r="B37" s="13">
        <v>351543186.45999998</v>
      </c>
      <c r="C37" s="13">
        <v>329184289.82999998</v>
      </c>
      <c r="D37" s="13">
        <v>22358896.629999995</v>
      </c>
      <c r="E37" s="13">
        <v>7231609.3600000003</v>
      </c>
      <c r="F37" s="13">
        <v>8658249</v>
      </c>
      <c r="G37" s="14">
        <v>2.58</v>
      </c>
      <c r="H37" s="14">
        <v>0.84</v>
      </c>
      <c r="I37" s="13">
        <v>602634.1133333334</v>
      </c>
      <c r="J37" s="15">
        <v>1</v>
      </c>
      <c r="K37" s="13">
        <v>21756262.516666662</v>
      </c>
      <c r="L37" s="13">
        <v>5042398.6299999952</v>
      </c>
      <c r="M37" s="13">
        <v>713274.12999999523</v>
      </c>
      <c r="N37" s="197">
        <v>43556</v>
      </c>
      <c r="O37" s="16">
        <v>45748</v>
      </c>
      <c r="P37" s="13">
        <v>1587066.02</v>
      </c>
      <c r="Q37" s="242" t="e">
        <v>#VALUE!</v>
      </c>
    </row>
    <row r="38" spans="1:17" x14ac:dyDescent="0.2">
      <c r="A38" s="4" t="s">
        <v>59</v>
      </c>
      <c r="B38" s="13">
        <v>285086766</v>
      </c>
      <c r="C38" s="13">
        <v>266271616</v>
      </c>
      <c r="D38" s="13">
        <v>18815150</v>
      </c>
      <c r="E38" s="13">
        <v>8526076.4100000001</v>
      </c>
      <c r="F38" s="13">
        <v>7485780</v>
      </c>
      <c r="G38" s="14">
        <v>2.5099999999999998</v>
      </c>
      <c r="H38" s="14">
        <v>1.1399999999999999</v>
      </c>
      <c r="I38" s="13">
        <v>710506.36750000005</v>
      </c>
      <c r="J38" s="15">
        <v>4</v>
      </c>
      <c r="K38" s="13">
        <v>15973124.529999999</v>
      </c>
      <c r="L38" s="13">
        <v>960897.5</v>
      </c>
      <c r="M38" s="13" t="s">
        <v>192</v>
      </c>
      <c r="N38" s="197">
        <v>43647</v>
      </c>
      <c r="O38" s="16">
        <v>45839</v>
      </c>
      <c r="P38" s="13">
        <v>580402</v>
      </c>
      <c r="Q38" s="242" t="e">
        <v>#VALUE!</v>
      </c>
    </row>
    <row r="39" spans="1:17" x14ac:dyDescent="0.2">
      <c r="A39" s="4" t="s">
        <v>37</v>
      </c>
      <c r="B39" s="13">
        <v>1239388142.8299999</v>
      </c>
      <c r="C39" s="13">
        <v>1181391958.05</v>
      </c>
      <c r="D39" s="13">
        <v>57996184.779999971</v>
      </c>
      <c r="E39" s="13">
        <v>18939344.170000002</v>
      </c>
      <c r="F39" s="13">
        <v>24088947</v>
      </c>
      <c r="G39" s="14">
        <v>2.41</v>
      </c>
      <c r="H39" s="14">
        <v>0.79</v>
      </c>
      <c r="I39" s="13">
        <v>1578278.6808333334</v>
      </c>
      <c r="J39" s="15">
        <v>4</v>
      </c>
      <c r="K39" s="13">
        <v>51683070.056666635</v>
      </c>
      <c r="L39" s="13">
        <v>2454572.6949999928</v>
      </c>
      <c r="M39" s="13" t="s">
        <v>192</v>
      </c>
      <c r="N39" s="197">
        <v>43647</v>
      </c>
      <c r="O39" s="16">
        <v>45839</v>
      </c>
      <c r="P39" s="13">
        <v>1112848.27</v>
      </c>
      <c r="Q39" s="242" t="e">
        <v>#VALUE!</v>
      </c>
    </row>
    <row r="40" spans="1:17" x14ac:dyDescent="0.2">
      <c r="A40" s="4" t="s">
        <v>18</v>
      </c>
      <c r="B40" s="13">
        <v>799406417.05999994</v>
      </c>
      <c r="C40" s="13">
        <v>757534781.87</v>
      </c>
      <c r="D40" s="13">
        <v>41871635.189999938</v>
      </c>
      <c r="E40" s="13">
        <v>28264060.120000001</v>
      </c>
      <c r="F40" s="13">
        <v>17480755</v>
      </c>
      <c r="G40" s="14">
        <v>2.4</v>
      </c>
      <c r="H40" s="14">
        <v>1.62</v>
      </c>
      <c r="I40" s="13">
        <v>2355338.3433333333</v>
      </c>
      <c r="J40" s="15">
        <v>4</v>
      </c>
      <c r="K40" s="13">
        <v>32450281.816666603</v>
      </c>
      <c r="L40" s="13" t="s">
        <v>192</v>
      </c>
      <c r="M40" s="13" t="s">
        <v>192</v>
      </c>
      <c r="N40" s="197">
        <v>43647</v>
      </c>
      <c r="O40" s="16">
        <v>45839</v>
      </c>
      <c r="P40" s="13">
        <v>536110.06999999995</v>
      </c>
      <c r="Q40" s="242" t="e">
        <v>#VALUE!</v>
      </c>
    </row>
    <row r="41" spans="1:17" x14ac:dyDescent="0.2">
      <c r="A41" s="4" t="s">
        <v>34</v>
      </c>
      <c r="B41" s="13">
        <v>1428807757.99</v>
      </c>
      <c r="C41" s="13">
        <v>1346372752.4000001</v>
      </c>
      <c r="D41" s="13">
        <v>82435005.589999914</v>
      </c>
      <c r="E41" s="13">
        <v>46794481</v>
      </c>
      <c r="F41" s="13">
        <v>34424780</v>
      </c>
      <c r="G41" s="14">
        <v>2.39</v>
      </c>
      <c r="H41" s="14">
        <v>1.36</v>
      </c>
      <c r="I41" s="13">
        <v>3899540.0833333335</v>
      </c>
      <c r="J41" s="15">
        <v>1</v>
      </c>
      <c r="K41" s="13">
        <v>78535465.506666586</v>
      </c>
      <c r="L41" s="13">
        <v>13585445.589999914</v>
      </c>
      <c r="M41" s="13" t="s">
        <v>192</v>
      </c>
      <c r="N41" s="197">
        <v>43922</v>
      </c>
      <c r="O41" s="16">
        <v>45748</v>
      </c>
      <c r="P41" s="13">
        <v>2941854.85</v>
      </c>
      <c r="Q41" s="242" t="e">
        <v>#VALUE!</v>
      </c>
    </row>
    <row r="42" spans="1:17" x14ac:dyDescent="0.2">
      <c r="A42" s="4" t="s">
        <v>49</v>
      </c>
      <c r="B42" s="13">
        <v>699328036.19000006</v>
      </c>
      <c r="C42" s="13">
        <v>666600110.64999998</v>
      </c>
      <c r="D42" s="13">
        <v>32727925.540000081</v>
      </c>
      <c r="E42" s="13">
        <v>13454816.92</v>
      </c>
      <c r="F42" s="13">
        <v>14024709</v>
      </c>
      <c r="G42" s="14">
        <v>2.33</v>
      </c>
      <c r="H42" s="14">
        <v>0.96</v>
      </c>
      <c r="I42" s="13">
        <v>1121234.7433333334</v>
      </c>
      <c r="J42" s="15">
        <v>1</v>
      </c>
      <c r="K42" s="13">
        <v>31606690.796666749</v>
      </c>
      <c r="L42" s="13">
        <v>4678507.5400000811</v>
      </c>
      <c r="M42" s="13" t="s">
        <v>192</v>
      </c>
      <c r="N42" s="197">
        <v>43922</v>
      </c>
      <c r="O42" s="16">
        <v>45748</v>
      </c>
      <c r="P42" s="13">
        <v>1484577.85</v>
      </c>
      <c r="Q42" s="242" t="e">
        <v>#VALUE!</v>
      </c>
    </row>
    <row r="43" spans="1:17" x14ac:dyDescent="0.2">
      <c r="A43" s="4" t="s">
        <v>48</v>
      </c>
      <c r="B43" s="13">
        <v>1985336227.8699999</v>
      </c>
      <c r="C43" s="13">
        <v>1883210747.21</v>
      </c>
      <c r="D43" s="13">
        <v>102125480.65999985</v>
      </c>
      <c r="E43" s="13">
        <v>43177220.659999996</v>
      </c>
      <c r="F43" s="13">
        <v>45588088</v>
      </c>
      <c r="G43" s="14">
        <v>2.2400000000000002</v>
      </c>
      <c r="H43" s="14">
        <v>0.95</v>
      </c>
      <c r="I43" s="13">
        <v>3598101.7216666662</v>
      </c>
      <c r="J43" s="15">
        <v>4</v>
      </c>
      <c r="K43" s="13">
        <v>87733073.773333177</v>
      </c>
      <c r="L43" s="13" t="s">
        <v>192</v>
      </c>
      <c r="M43" s="13" t="s">
        <v>192</v>
      </c>
      <c r="N43" s="197">
        <v>43647</v>
      </c>
      <c r="O43" s="16">
        <v>45839</v>
      </c>
      <c r="P43" s="13">
        <v>3597137.02</v>
      </c>
      <c r="Q43" s="242" t="e">
        <v>#VALUE!</v>
      </c>
    </row>
    <row r="44" spans="1:17" x14ac:dyDescent="0.2">
      <c r="A44" s="4" t="s">
        <v>41</v>
      </c>
      <c r="B44" s="13">
        <v>101611843</v>
      </c>
      <c r="C44" s="13">
        <v>95151715.510000005</v>
      </c>
      <c r="D44" s="13">
        <v>6460127.4899999946</v>
      </c>
      <c r="E44" s="13">
        <v>3539193.81</v>
      </c>
      <c r="F44" s="13">
        <v>2910779</v>
      </c>
      <c r="G44" s="14">
        <v>2.2200000000000002</v>
      </c>
      <c r="H44" s="14">
        <v>1.22</v>
      </c>
      <c r="I44" s="13">
        <v>294932.8175</v>
      </c>
      <c r="J44" s="15">
        <v>4</v>
      </c>
      <c r="K44" s="13">
        <v>5280396.2199999951</v>
      </c>
      <c r="L44" s="13" t="s">
        <v>192</v>
      </c>
      <c r="M44" s="13" t="s">
        <v>192</v>
      </c>
      <c r="N44" s="197">
        <v>43647</v>
      </c>
      <c r="O44" s="16">
        <v>45839</v>
      </c>
      <c r="P44" s="13">
        <v>892151.21</v>
      </c>
      <c r="Q44" s="242" t="e">
        <v>#VALUE!</v>
      </c>
    </row>
    <row r="45" spans="1:17" x14ac:dyDescent="0.2">
      <c r="A45" s="4" t="s">
        <v>63</v>
      </c>
      <c r="B45" s="13">
        <v>1110426785</v>
      </c>
      <c r="C45" s="13">
        <v>1049448346.8099999</v>
      </c>
      <c r="D45" s="13">
        <v>60978438.190000057</v>
      </c>
      <c r="E45" s="13">
        <v>24608557.329999998</v>
      </c>
      <c r="F45" s="13">
        <v>27485501</v>
      </c>
      <c r="G45" s="14">
        <v>2.2200000000000002</v>
      </c>
      <c r="H45" s="14">
        <v>0.9</v>
      </c>
      <c r="I45" s="13">
        <v>2050713.1108333331</v>
      </c>
      <c r="J45" s="15">
        <v>1</v>
      </c>
      <c r="K45" s="13">
        <v>58927725.079166725</v>
      </c>
      <c r="L45" s="13">
        <v>6007436.1900000572</v>
      </c>
      <c r="M45" s="13" t="s">
        <v>192</v>
      </c>
      <c r="N45" s="197">
        <v>43922</v>
      </c>
      <c r="O45" s="16">
        <v>45748</v>
      </c>
      <c r="P45" s="13">
        <v>2683741.75</v>
      </c>
      <c r="Q45" s="242" t="e">
        <v>#VALUE!</v>
      </c>
    </row>
    <row r="46" spans="1:17" x14ac:dyDescent="0.2">
      <c r="A46" s="4" t="s">
        <v>33</v>
      </c>
      <c r="B46" s="13">
        <v>314446387.48000002</v>
      </c>
      <c r="C46" s="13">
        <v>296268110.67000002</v>
      </c>
      <c r="D46" s="13">
        <v>18178276.810000002</v>
      </c>
      <c r="E46" s="13">
        <v>10084458.689999999</v>
      </c>
      <c r="F46" s="13">
        <v>8369791</v>
      </c>
      <c r="G46" s="14">
        <v>2.17</v>
      </c>
      <c r="H46" s="14">
        <v>1.2</v>
      </c>
      <c r="I46" s="13">
        <v>840371.5575</v>
      </c>
      <c r="J46" s="15">
        <v>4</v>
      </c>
      <c r="K46" s="13">
        <v>14816790.580000002</v>
      </c>
      <c r="L46" s="13" t="s">
        <v>192</v>
      </c>
      <c r="M46" s="13" t="s">
        <v>192</v>
      </c>
      <c r="N46" s="197">
        <v>43647</v>
      </c>
      <c r="O46" s="16">
        <v>45839</v>
      </c>
      <c r="P46" s="13">
        <v>524914.28</v>
      </c>
      <c r="Q46" s="242" t="e">
        <v>#VALUE!</v>
      </c>
    </row>
    <row r="47" spans="1:17" x14ac:dyDescent="0.2">
      <c r="A47" s="4" t="s">
        <v>32</v>
      </c>
      <c r="B47" s="13">
        <v>509113932</v>
      </c>
      <c r="C47" s="13">
        <v>483431986.23000002</v>
      </c>
      <c r="D47" s="13">
        <v>25681945.769999981</v>
      </c>
      <c r="E47" s="13">
        <v>11771395.09</v>
      </c>
      <c r="F47" s="13">
        <v>11867952</v>
      </c>
      <c r="G47" s="14">
        <v>2.16</v>
      </c>
      <c r="H47" s="14">
        <v>0.99</v>
      </c>
      <c r="I47" s="13">
        <v>980949.59083333332</v>
      </c>
      <c r="J47" s="15">
        <v>-2</v>
      </c>
      <c r="K47" s="13" t="s">
        <v>193</v>
      </c>
      <c r="L47" s="13" t="s">
        <v>193</v>
      </c>
      <c r="M47" s="13" t="s">
        <v>193</v>
      </c>
      <c r="N47" s="197">
        <v>43831</v>
      </c>
      <c r="O47" s="16">
        <v>45658</v>
      </c>
      <c r="P47" s="13">
        <v>775069.43</v>
      </c>
      <c r="Q47" s="242" t="e">
        <v>#VALUE!</v>
      </c>
    </row>
    <row r="48" spans="1:17" x14ac:dyDescent="0.2">
      <c r="A48" s="4" t="s">
        <v>55</v>
      </c>
      <c r="B48" s="13">
        <v>254239457</v>
      </c>
      <c r="C48" s="13">
        <v>242113133.25</v>
      </c>
      <c r="D48" s="13">
        <v>12126323.75</v>
      </c>
      <c r="E48" s="13">
        <v>8344269.2000000002</v>
      </c>
      <c r="F48" s="13">
        <v>5680880</v>
      </c>
      <c r="G48" s="14">
        <v>2.13</v>
      </c>
      <c r="H48" s="14">
        <v>1.47</v>
      </c>
      <c r="I48" s="13">
        <v>695355.76666666672</v>
      </c>
      <c r="J48" s="15">
        <v>-2</v>
      </c>
      <c r="K48" s="13" t="s">
        <v>193</v>
      </c>
      <c r="L48" s="13" t="s">
        <v>193</v>
      </c>
      <c r="M48" s="13" t="s">
        <v>193</v>
      </c>
      <c r="N48" s="197">
        <v>43831</v>
      </c>
      <c r="O48" s="16">
        <v>45658</v>
      </c>
      <c r="P48" s="13">
        <v>0</v>
      </c>
      <c r="Q48" s="242" t="e">
        <v>#VALUE!</v>
      </c>
    </row>
    <row r="49" spans="1:17" x14ac:dyDescent="0.2">
      <c r="A49" s="4" t="s">
        <v>17</v>
      </c>
      <c r="B49" s="13">
        <v>398824318</v>
      </c>
      <c r="C49" s="13">
        <v>378614345.06</v>
      </c>
      <c r="D49" s="13">
        <v>20209972.939999998</v>
      </c>
      <c r="E49" s="13">
        <v>11363448.26</v>
      </c>
      <c r="F49" s="13">
        <v>9664284</v>
      </c>
      <c r="G49" s="14">
        <v>2.09</v>
      </c>
      <c r="H49" s="14">
        <v>1.18</v>
      </c>
      <c r="I49" s="13">
        <v>946954.02166666661</v>
      </c>
      <c r="J49" s="15">
        <v>4</v>
      </c>
      <c r="K49" s="13">
        <v>16422156.853333332</v>
      </c>
      <c r="L49" s="13" t="s">
        <v>192</v>
      </c>
      <c r="M49" s="13" t="s">
        <v>192</v>
      </c>
      <c r="N49" s="197">
        <v>43647</v>
      </c>
      <c r="O49" s="16">
        <v>45839</v>
      </c>
      <c r="P49" s="13">
        <v>953040.93</v>
      </c>
      <c r="Q49" s="242" t="e">
        <v>#VALUE!</v>
      </c>
    </row>
    <row r="50" spans="1:17" x14ac:dyDescent="0.2">
      <c r="A50" s="4" t="s">
        <v>58</v>
      </c>
      <c r="B50" s="13">
        <v>243764651</v>
      </c>
      <c r="C50" s="13">
        <v>233797007.34</v>
      </c>
      <c r="D50" s="13">
        <v>9967643.6599999964</v>
      </c>
      <c r="E50" s="13">
        <v>5819287.2300000004</v>
      </c>
      <c r="F50" s="13">
        <v>5561418</v>
      </c>
      <c r="G50" s="14">
        <v>1.79</v>
      </c>
      <c r="H50" s="14">
        <v>1.05</v>
      </c>
      <c r="I50" s="13">
        <v>484940.60250000004</v>
      </c>
      <c r="J50" s="15">
        <v>4</v>
      </c>
      <c r="K50" s="13">
        <v>8027881.2499999963</v>
      </c>
      <c r="L50" s="13" t="s">
        <v>192</v>
      </c>
      <c r="M50" s="13" t="s">
        <v>192</v>
      </c>
      <c r="N50" s="197">
        <v>43647</v>
      </c>
      <c r="O50" s="16">
        <v>45839</v>
      </c>
      <c r="P50" s="13">
        <v>111150.02</v>
      </c>
      <c r="Q50" s="242" t="e">
        <v>#VALUE!</v>
      </c>
    </row>
    <row r="51" spans="1:17" x14ac:dyDescent="0.2">
      <c r="A51" s="4" t="s">
        <v>50</v>
      </c>
      <c r="B51" s="13">
        <v>545409679.30999994</v>
      </c>
      <c r="C51" s="13">
        <v>529896087.41000003</v>
      </c>
      <c r="D51" s="13">
        <v>15513591.899999917</v>
      </c>
      <c r="E51" s="13">
        <v>17002636.100000001</v>
      </c>
      <c r="F51" s="13">
        <v>11656242</v>
      </c>
      <c r="G51" s="14">
        <v>1.33</v>
      </c>
      <c r="H51" s="14">
        <v>1.46</v>
      </c>
      <c r="I51" s="13">
        <v>1416886.3416666668</v>
      </c>
      <c r="J51" s="15">
        <v>-2</v>
      </c>
      <c r="K51" s="13" t="s">
        <v>193</v>
      </c>
      <c r="L51" s="13" t="s">
        <v>193</v>
      </c>
      <c r="M51" s="13" t="s">
        <v>193</v>
      </c>
      <c r="N51" s="197">
        <v>43831</v>
      </c>
      <c r="O51" s="16">
        <v>45658</v>
      </c>
      <c r="P51" s="13">
        <v>581049.44999999995</v>
      </c>
      <c r="Q51" s="242" t="e">
        <v>#VALUE!</v>
      </c>
    </row>
    <row r="52" spans="1:17" x14ac:dyDescent="0.2">
      <c r="A52" s="4" t="s">
        <v>22</v>
      </c>
      <c r="B52" s="13">
        <v>75470621</v>
      </c>
      <c r="C52" s="13">
        <v>74211882.439999998</v>
      </c>
      <c r="D52" s="18">
        <v>1258738.5600000024</v>
      </c>
      <c r="E52" s="13">
        <v>2709534.99</v>
      </c>
      <c r="F52" s="13">
        <v>2752623</v>
      </c>
      <c r="G52" s="14">
        <v>0.46</v>
      </c>
      <c r="H52" s="14">
        <v>0.98</v>
      </c>
      <c r="I52" s="18">
        <v>225794.58250000002</v>
      </c>
      <c r="J52" s="15">
        <v>4</v>
      </c>
      <c r="K52" s="18">
        <v>355560.23000000231</v>
      </c>
      <c r="L52" s="18" t="s">
        <v>192</v>
      </c>
      <c r="M52" s="18" t="s">
        <v>192</v>
      </c>
      <c r="N52" s="198">
        <v>43647</v>
      </c>
      <c r="O52" s="16">
        <v>45839</v>
      </c>
      <c r="P52" s="13">
        <v>598288.44999999995</v>
      </c>
      <c r="Q52" s="242" t="e">
        <v>#VALUE!</v>
      </c>
    </row>
    <row r="53" spans="1:17" x14ac:dyDescent="0.25">
      <c r="A53" s="36" t="s">
        <v>65</v>
      </c>
      <c r="B53" s="33">
        <v>43898569671.440002</v>
      </c>
      <c r="C53" s="13">
        <v>40557322823.510002</v>
      </c>
      <c r="D53" s="33">
        <v>3341246847.9300003</v>
      </c>
      <c r="E53" s="13">
        <v>964662211.82000005</v>
      </c>
      <c r="F53" s="13">
        <v>984776967</v>
      </c>
      <c r="G53" s="14">
        <v>3.39</v>
      </c>
      <c r="H53" s="14">
        <v>0.98</v>
      </c>
      <c r="I53" s="33">
        <v>80388517.651666671</v>
      </c>
      <c r="J53" s="34"/>
      <c r="K53" s="35"/>
      <c r="L53" s="35"/>
      <c r="M53" s="35"/>
      <c r="N53" s="35"/>
      <c r="O53" s="35"/>
      <c r="P53" s="33">
        <v>74966833.989999995</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36</v>
      </c>
      <c r="H56" s="25"/>
    </row>
    <row r="57" spans="1:17" ht="27" customHeight="1" thickBot="1" x14ac:dyDescent="0.3">
      <c r="D57" s="248" t="s">
        <v>67</v>
      </c>
      <c r="E57" s="249"/>
      <c r="F57" s="249"/>
      <c r="G57" s="27"/>
      <c r="H57" s="28">
        <v>30</v>
      </c>
    </row>
  </sheetData>
  <mergeCells count="2">
    <mergeCell ref="D56:F56"/>
    <mergeCell ref="D57:F57"/>
  </mergeCells>
  <conditionalFormatting sqref="G54">
    <cfRule type="cellIs" dxfId="223" priority="13" stopIfTrue="1" operator="greaterThan">
      <formula>2.5</formula>
    </cfRule>
    <cfRule type="cellIs" dxfId="222" priority="14" stopIfTrue="1" operator="between">
      <formula>2.01</formula>
      <formula>2.5</formula>
    </cfRule>
  </conditionalFormatting>
  <conditionalFormatting sqref="H3:H53">
    <cfRule type="cellIs" dxfId="221" priority="12" stopIfTrue="1" operator="lessThan">
      <formula>1</formula>
    </cfRule>
  </conditionalFormatting>
  <conditionalFormatting sqref="G3:G53">
    <cfRule type="cellIs" dxfId="220" priority="10" stopIfTrue="1" operator="greaterThan">
      <formula>2.5</formula>
    </cfRule>
    <cfRule type="cellIs" dxfId="219" priority="11" stopIfTrue="1" operator="between">
      <formula>2.01</formula>
      <formula>2.5</formula>
    </cfRule>
  </conditionalFormatting>
  <conditionalFormatting sqref="K3:K52">
    <cfRule type="cellIs" dxfId="218" priority="8" stopIfTrue="1" operator="greaterThan">
      <formula>$F3*2.5</formula>
    </cfRule>
    <cfRule type="cellIs" dxfId="217" priority="9" stopIfTrue="1" operator="between">
      <formula>$F3*2</formula>
      <formula>$F3*2.5</formula>
    </cfRule>
  </conditionalFormatting>
  <conditionalFormatting sqref="G54">
    <cfRule type="cellIs" dxfId="216" priority="6" stopIfTrue="1" operator="greaterThan">
      <formula>2.5</formula>
    </cfRule>
    <cfRule type="cellIs" dxfId="215" priority="7" stopIfTrue="1" operator="between">
      <formula>2.01</formula>
      <formula>2.5</formula>
    </cfRule>
  </conditionalFormatting>
  <conditionalFormatting sqref="H3:H53">
    <cfRule type="cellIs" dxfId="214" priority="5" stopIfTrue="1" operator="lessThan">
      <formula>1</formula>
    </cfRule>
  </conditionalFormatting>
  <conditionalFormatting sqref="G3:G53">
    <cfRule type="cellIs" dxfId="213" priority="3" stopIfTrue="1" operator="greaterThan">
      <formula>2.5</formula>
    </cfRule>
    <cfRule type="cellIs" dxfId="212" priority="4" stopIfTrue="1" operator="between">
      <formula>2.01</formula>
      <formula>2.5</formula>
    </cfRule>
  </conditionalFormatting>
  <conditionalFormatting sqref="K3:K52">
    <cfRule type="cellIs" dxfId="211" priority="1" stopIfTrue="1" operator="greaterThan">
      <formula>$F3*2.5</formula>
    </cfRule>
    <cfRule type="cellIs" dxfId="210"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06E8A-8CC5-4E66-A368-7186D3282D2C}">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291</v>
      </c>
      <c r="B1" s="196" t="s">
        <v>292</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1161972037.8499999</v>
      </c>
      <c r="C3" s="13">
        <v>1007560188.7</v>
      </c>
      <c r="D3" s="13">
        <v>154411849.14999986</v>
      </c>
      <c r="E3" s="13">
        <v>23616966.210000001</v>
      </c>
      <c r="F3" s="13">
        <v>24581601</v>
      </c>
      <c r="G3" s="14">
        <v>6.28</v>
      </c>
      <c r="H3" s="14">
        <v>0.96</v>
      </c>
      <c r="I3" s="13">
        <v>1968080.5175000001</v>
      </c>
      <c r="J3" s="15">
        <v>3</v>
      </c>
      <c r="K3" s="13">
        <v>148507607.59749985</v>
      </c>
      <c r="L3" s="13">
        <v>35082882.383333288</v>
      </c>
      <c r="M3" s="13">
        <v>30985948.883333284</v>
      </c>
      <c r="N3" s="197">
        <v>43647</v>
      </c>
      <c r="O3" s="16">
        <v>45839</v>
      </c>
      <c r="P3" s="13">
        <v>169122.46</v>
      </c>
      <c r="Q3" s="243" t="e">
        <v>#VALUE!</v>
      </c>
    </row>
    <row r="4" spans="1:17" x14ac:dyDescent="0.2">
      <c r="A4" s="4" t="s">
        <v>62</v>
      </c>
      <c r="B4" s="13">
        <v>722479384.32000005</v>
      </c>
      <c r="C4" s="13">
        <v>644816133.12</v>
      </c>
      <c r="D4" s="13">
        <v>77663251.200000048</v>
      </c>
      <c r="E4" s="13">
        <v>12182005.220000001</v>
      </c>
      <c r="F4" s="13">
        <v>13783001</v>
      </c>
      <c r="G4" s="14">
        <v>5.63</v>
      </c>
      <c r="H4" s="14">
        <v>0.88</v>
      </c>
      <c r="I4" s="13">
        <v>1015167.1016666667</v>
      </c>
      <c r="J4" s="15">
        <v>3</v>
      </c>
      <c r="K4" s="13">
        <v>74617749.895000041</v>
      </c>
      <c r="L4" s="13">
        <v>16699083.066666683</v>
      </c>
      <c r="M4" s="13">
        <v>14401916.233333349</v>
      </c>
      <c r="N4" s="197">
        <v>43647</v>
      </c>
      <c r="O4" s="16">
        <v>45839</v>
      </c>
      <c r="P4" s="13">
        <v>648693.56000000006</v>
      </c>
      <c r="Q4" s="242" t="e">
        <v>#VALUE!</v>
      </c>
    </row>
    <row r="5" spans="1:17" x14ac:dyDescent="0.2">
      <c r="A5" s="4" t="s">
        <v>46</v>
      </c>
      <c r="B5" s="13">
        <v>1834758280.3599999</v>
      </c>
      <c r="C5" s="13">
        <v>1576137794.8699999</v>
      </c>
      <c r="D5" s="13">
        <v>258620485.49000001</v>
      </c>
      <c r="E5" s="13">
        <v>42741104.119999997</v>
      </c>
      <c r="F5" s="13">
        <v>46162390</v>
      </c>
      <c r="G5" s="14">
        <v>5.6</v>
      </c>
      <c r="H5" s="14">
        <v>0.93</v>
      </c>
      <c r="I5" s="13">
        <v>3561758.6766666663</v>
      </c>
      <c r="J5" s="15">
        <v>9</v>
      </c>
      <c r="K5" s="13">
        <v>226564657.40000001</v>
      </c>
      <c r="L5" s="13">
        <v>18477300.609999999</v>
      </c>
      <c r="M5" s="13">
        <v>15912723.387777779</v>
      </c>
      <c r="N5" s="197">
        <v>43831</v>
      </c>
      <c r="O5" s="16">
        <v>46023</v>
      </c>
      <c r="P5" s="13">
        <v>1455351.37</v>
      </c>
      <c r="Q5" s="242" t="e">
        <v>#VALUE!</v>
      </c>
    </row>
    <row r="6" spans="1:17" x14ac:dyDescent="0.2">
      <c r="A6" s="4" t="s">
        <v>35</v>
      </c>
      <c r="B6" s="13">
        <v>1503333344.97</v>
      </c>
      <c r="C6" s="13">
        <v>1317189328.53</v>
      </c>
      <c r="D6" s="13">
        <v>186144016.44000006</v>
      </c>
      <c r="E6" s="13">
        <v>22205573.43</v>
      </c>
      <c r="F6" s="13">
        <v>34090474</v>
      </c>
      <c r="G6" s="14">
        <v>5.46</v>
      </c>
      <c r="H6" s="14">
        <v>0.65</v>
      </c>
      <c r="I6" s="13">
        <v>1850464.4524999999</v>
      </c>
      <c r="J6" s="15">
        <v>3</v>
      </c>
      <c r="K6" s="13">
        <v>180592623.08250007</v>
      </c>
      <c r="L6" s="13">
        <v>39321022.813333355</v>
      </c>
      <c r="M6" s="13">
        <v>33639277.146666683</v>
      </c>
      <c r="N6" s="197">
        <v>43647</v>
      </c>
      <c r="O6" s="16">
        <v>45839</v>
      </c>
      <c r="P6" s="13">
        <v>3422254.29</v>
      </c>
      <c r="Q6" s="242" t="e">
        <v>#VALUE!</v>
      </c>
    </row>
    <row r="7" spans="1:17" x14ac:dyDescent="0.2">
      <c r="A7" s="4" t="s">
        <v>64</v>
      </c>
      <c r="B7" s="13">
        <v>124445693.39</v>
      </c>
      <c r="C7" s="13">
        <v>108189336.29000001</v>
      </c>
      <c r="D7" s="13">
        <v>16256357.099999994</v>
      </c>
      <c r="E7" s="13">
        <v>3794466.18</v>
      </c>
      <c r="F7" s="13">
        <v>3545933</v>
      </c>
      <c r="G7" s="14">
        <v>4.58</v>
      </c>
      <c r="H7" s="14">
        <v>1.07</v>
      </c>
      <c r="I7" s="13">
        <v>316205.51500000001</v>
      </c>
      <c r="J7" s="15">
        <v>9</v>
      </c>
      <c r="K7" s="13">
        <v>13410507.464999994</v>
      </c>
      <c r="L7" s="13">
        <v>1018276.7888888882</v>
      </c>
      <c r="M7" s="13">
        <v>821280.51111111045</v>
      </c>
      <c r="N7" s="197">
        <v>43831</v>
      </c>
      <c r="O7" s="16">
        <v>46023</v>
      </c>
      <c r="P7" s="13">
        <v>0</v>
      </c>
      <c r="Q7" s="242" t="e">
        <v>#VALUE!</v>
      </c>
    </row>
    <row r="8" spans="1:17" x14ac:dyDescent="0.2">
      <c r="A8" s="4" t="s">
        <v>44</v>
      </c>
      <c r="B8" s="13">
        <v>504504813</v>
      </c>
      <c r="C8" s="13">
        <v>456193000.39999998</v>
      </c>
      <c r="D8" s="13">
        <v>48311812.600000024</v>
      </c>
      <c r="E8" s="13">
        <v>10568567.550000001</v>
      </c>
      <c r="F8" s="13">
        <v>10946097</v>
      </c>
      <c r="G8" s="14">
        <v>4.41</v>
      </c>
      <c r="H8" s="14">
        <v>0.97</v>
      </c>
      <c r="I8" s="13">
        <v>880713.96250000002</v>
      </c>
      <c r="J8" s="15">
        <v>9</v>
      </c>
      <c r="K8" s="13">
        <v>40385386.937500022</v>
      </c>
      <c r="L8" s="13">
        <v>2935513.1777777802</v>
      </c>
      <c r="M8" s="13">
        <v>2327396.6777777802</v>
      </c>
      <c r="N8" s="197">
        <v>43831</v>
      </c>
      <c r="O8" s="16">
        <v>46023</v>
      </c>
      <c r="P8" s="13">
        <v>1580904.5</v>
      </c>
      <c r="Q8" s="242" t="e">
        <v>#VALUE!</v>
      </c>
    </row>
    <row r="9" spans="1:17" x14ac:dyDescent="0.2">
      <c r="A9" s="4" t="s">
        <v>26</v>
      </c>
      <c r="B9" s="13">
        <v>1365257298.0599999</v>
      </c>
      <c r="C9" s="13">
        <v>1238604391.96</v>
      </c>
      <c r="D9" s="13">
        <v>126652906.0999999</v>
      </c>
      <c r="E9" s="13">
        <v>52074636.469999999</v>
      </c>
      <c r="F9" s="13">
        <v>28988172</v>
      </c>
      <c r="G9" s="14">
        <v>4.37</v>
      </c>
      <c r="H9" s="14">
        <v>1.8</v>
      </c>
      <c r="I9" s="13">
        <v>4339553.0391666666</v>
      </c>
      <c r="J9" s="15">
        <v>9</v>
      </c>
      <c r="K9" s="13">
        <v>87596928.747499913</v>
      </c>
      <c r="L9" s="13">
        <v>7630729.1222222112</v>
      </c>
      <c r="M9" s="13">
        <v>6020275.1222222112</v>
      </c>
      <c r="N9" s="197">
        <v>43831</v>
      </c>
      <c r="O9" s="16">
        <v>46023</v>
      </c>
      <c r="P9" s="13">
        <v>3539798.1</v>
      </c>
      <c r="Q9" s="242" t="e">
        <v>#VALUE!</v>
      </c>
    </row>
    <row r="10" spans="1:17" x14ac:dyDescent="0.2">
      <c r="A10" s="4" t="s">
        <v>47</v>
      </c>
      <c r="B10" s="13">
        <v>190999038.36000001</v>
      </c>
      <c r="C10" s="13">
        <v>175710265.75</v>
      </c>
      <c r="D10" s="13">
        <v>15288772.610000014</v>
      </c>
      <c r="E10" s="13">
        <v>3004361.75</v>
      </c>
      <c r="F10" s="13">
        <v>3551615</v>
      </c>
      <c r="G10" s="14">
        <v>4.3</v>
      </c>
      <c r="H10" s="14">
        <v>0.85</v>
      </c>
      <c r="I10" s="13">
        <v>250363.47916666666</v>
      </c>
      <c r="J10" s="15">
        <v>3</v>
      </c>
      <c r="K10" s="13">
        <v>14537682.172500014</v>
      </c>
      <c r="L10" s="13">
        <v>2728514.2033333383</v>
      </c>
      <c r="M10" s="13">
        <v>2136578.3700000048</v>
      </c>
      <c r="N10" s="197">
        <v>43647</v>
      </c>
      <c r="O10" s="16">
        <v>45839</v>
      </c>
      <c r="P10" s="13">
        <v>0</v>
      </c>
      <c r="Q10" s="242" t="e">
        <v>#VALUE!</v>
      </c>
    </row>
    <row r="11" spans="1:17" x14ac:dyDescent="0.2">
      <c r="A11" s="4" t="s">
        <v>52</v>
      </c>
      <c r="B11" s="13">
        <v>1966895481</v>
      </c>
      <c r="C11" s="13">
        <v>1873330652.0699999</v>
      </c>
      <c r="D11" s="13">
        <v>93564828.930000067</v>
      </c>
      <c r="E11" s="13">
        <v>21459596.41</v>
      </c>
      <c r="F11" s="13">
        <v>21788490</v>
      </c>
      <c r="G11" s="14">
        <v>4.29</v>
      </c>
      <c r="H11" s="14">
        <v>0.98</v>
      </c>
      <c r="I11" s="13">
        <v>1788299.7008333334</v>
      </c>
      <c r="J11" s="15">
        <v>3</v>
      </c>
      <c r="K11" s="13">
        <v>88199929.82750006</v>
      </c>
      <c r="L11" s="13">
        <v>16662616.310000023</v>
      </c>
      <c r="M11" s="13">
        <v>13031201.310000023</v>
      </c>
      <c r="N11" s="197">
        <v>43647</v>
      </c>
      <c r="O11" s="16">
        <v>45839</v>
      </c>
      <c r="P11" s="13">
        <v>721556.91</v>
      </c>
      <c r="Q11" s="242" t="e">
        <v>#VALUE!</v>
      </c>
    </row>
    <row r="12" spans="1:17" x14ac:dyDescent="0.2">
      <c r="A12" s="4" t="s">
        <v>30</v>
      </c>
      <c r="B12" s="13">
        <v>1194714205.73</v>
      </c>
      <c r="C12" s="13">
        <v>1080908086.95</v>
      </c>
      <c r="D12" s="13">
        <v>113806118.77999997</v>
      </c>
      <c r="E12" s="13">
        <v>21486979.530000001</v>
      </c>
      <c r="F12" s="13">
        <v>26571929</v>
      </c>
      <c r="G12" s="14">
        <v>4.28</v>
      </c>
      <c r="H12" s="14">
        <v>0.81</v>
      </c>
      <c r="I12" s="13">
        <v>1790581.6275000002</v>
      </c>
      <c r="J12" s="15">
        <v>3</v>
      </c>
      <c r="K12" s="13">
        <v>108434373.89749998</v>
      </c>
      <c r="L12" s="13">
        <v>20220753.593333323</v>
      </c>
      <c r="M12" s="13">
        <v>15792098.75999999</v>
      </c>
      <c r="N12" s="197">
        <v>43647</v>
      </c>
      <c r="O12" s="16">
        <v>45839</v>
      </c>
      <c r="P12" s="13">
        <v>698555.42</v>
      </c>
      <c r="Q12" s="242" t="e">
        <v>#VALUE!</v>
      </c>
    </row>
    <row r="13" spans="1:17" x14ac:dyDescent="0.2">
      <c r="A13" s="4" t="s">
        <v>36</v>
      </c>
      <c r="B13" s="13">
        <v>872347192</v>
      </c>
      <c r="C13" s="13">
        <v>790554354.90999997</v>
      </c>
      <c r="D13" s="13">
        <v>81792837.090000033</v>
      </c>
      <c r="E13" s="13">
        <v>15798413.76</v>
      </c>
      <c r="F13" s="13">
        <v>19090913</v>
      </c>
      <c r="G13" s="14">
        <v>4.28</v>
      </c>
      <c r="H13" s="14">
        <v>0.83</v>
      </c>
      <c r="I13" s="13">
        <v>1316534.48</v>
      </c>
      <c r="J13" s="15">
        <v>6</v>
      </c>
      <c r="K13" s="13">
        <v>73893630.210000038</v>
      </c>
      <c r="L13" s="13">
        <v>7268501.8483333392</v>
      </c>
      <c r="M13" s="13">
        <v>5677592.4316666722</v>
      </c>
      <c r="N13" s="197">
        <v>43739</v>
      </c>
      <c r="O13" s="16">
        <v>45931</v>
      </c>
      <c r="P13" s="13">
        <v>1229030.24</v>
      </c>
      <c r="Q13" s="242" t="e">
        <v>#VALUE!</v>
      </c>
    </row>
    <row r="14" spans="1:17" x14ac:dyDescent="0.2">
      <c r="A14" s="4" t="s">
        <v>40</v>
      </c>
      <c r="B14" s="13">
        <v>511163315.91000003</v>
      </c>
      <c r="C14" s="13">
        <v>466218648.35000002</v>
      </c>
      <c r="D14" s="13">
        <v>44944667.560000002</v>
      </c>
      <c r="E14" s="13">
        <v>5583876.4000000004</v>
      </c>
      <c r="F14" s="13">
        <v>10598087</v>
      </c>
      <c r="G14" s="14">
        <v>4.24</v>
      </c>
      <c r="H14" s="14">
        <v>0.53</v>
      </c>
      <c r="I14" s="13">
        <v>465323.03333333338</v>
      </c>
      <c r="J14" s="15">
        <v>3</v>
      </c>
      <c r="K14" s="13">
        <v>43548698.460000001</v>
      </c>
      <c r="L14" s="13">
        <v>7916164.5200000005</v>
      </c>
      <c r="M14" s="13">
        <v>6149816.6866666675</v>
      </c>
      <c r="N14" s="197">
        <v>43647</v>
      </c>
      <c r="O14" s="16">
        <v>45839</v>
      </c>
      <c r="P14" s="13">
        <v>463107.02</v>
      </c>
      <c r="Q14" s="242" t="e">
        <v>#VALUE!</v>
      </c>
    </row>
    <row r="15" spans="1:17" x14ac:dyDescent="0.2">
      <c r="A15" s="4" t="s">
        <v>60</v>
      </c>
      <c r="B15" s="13">
        <v>813673223</v>
      </c>
      <c r="C15" s="13">
        <v>731462604.27999997</v>
      </c>
      <c r="D15" s="13">
        <v>82210618.720000029</v>
      </c>
      <c r="E15" s="13">
        <v>12356262.029999999</v>
      </c>
      <c r="F15" s="13">
        <v>19453948</v>
      </c>
      <c r="G15" s="14">
        <v>4.2300000000000004</v>
      </c>
      <c r="H15" s="14">
        <v>0.64</v>
      </c>
      <c r="I15" s="13">
        <v>1029688.5024999999</v>
      </c>
      <c r="J15" s="15">
        <v>3</v>
      </c>
      <c r="K15" s="13">
        <v>79121553.212500036</v>
      </c>
      <c r="L15" s="13">
        <v>14434240.906666676</v>
      </c>
      <c r="M15" s="13">
        <v>11191916.24000001</v>
      </c>
      <c r="N15" s="197">
        <v>43647</v>
      </c>
      <c r="O15" s="16">
        <v>45839</v>
      </c>
      <c r="P15" s="13">
        <v>271447.42</v>
      </c>
      <c r="Q15" s="242" t="e">
        <v>#VALUE!</v>
      </c>
    </row>
    <row r="16" spans="1:17" x14ac:dyDescent="0.2">
      <c r="A16" s="4" t="s">
        <v>39</v>
      </c>
      <c r="B16" s="13">
        <v>271317340</v>
      </c>
      <c r="C16" s="13">
        <v>246355794.40000001</v>
      </c>
      <c r="D16" s="13">
        <v>24961545.599999994</v>
      </c>
      <c r="E16" s="13">
        <v>7336064.0899999999</v>
      </c>
      <c r="F16" s="13">
        <v>6196840</v>
      </c>
      <c r="G16" s="14">
        <v>4.03</v>
      </c>
      <c r="H16" s="14">
        <v>1.18</v>
      </c>
      <c r="I16" s="13">
        <v>611338.67416666669</v>
      </c>
      <c r="J16" s="15">
        <v>0</v>
      </c>
      <c r="K16" s="13">
        <v>24961545.599999994</v>
      </c>
      <c r="L16" s="13" t="s">
        <v>193</v>
      </c>
      <c r="M16" s="13" t="s">
        <v>193</v>
      </c>
      <c r="N16" s="197">
        <v>43922</v>
      </c>
      <c r="O16" s="16">
        <v>45748</v>
      </c>
      <c r="P16" s="13">
        <v>1465424.71</v>
      </c>
      <c r="Q16" s="242" t="e">
        <v>#VALUE!</v>
      </c>
    </row>
    <row r="17" spans="1:17" x14ac:dyDescent="0.2">
      <c r="A17" s="4" t="s">
        <v>43</v>
      </c>
      <c r="B17" s="13">
        <v>307409614.24000001</v>
      </c>
      <c r="C17" s="13">
        <v>281201574.88</v>
      </c>
      <c r="D17" s="13">
        <v>26208039.360000014</v>
      </c>
      <c r="E17" s="13">
        <v>5540995.1299999999</v>
      </c>
      <c r="F17" s="13">
        <v>6878551</v>
      </c>
      <c r="G17" s="14">
        <v>3.81</v>
      </c>
      <c r="H17" s="14">
        <v>0.81</v>
      </c>
      <c r="I17" s="13">
        <v>461749.59416666668</v>
      </c>
      <c r="J17" s="15">
        <v>3</v>
      </c>
      <c r="K17" s="13">
        <v>24822790.577500015</v>
      </c>
      <c r="L17" s="13">
        <v>4150312.4533333383</v>
      </c>
      <c r="M17" s="13">
        <v>3003887.2866666713</v>
      </c>
      <c r="N17" s="197">
        <v>43647</v>
      </c>
      <c r="O17" s="16">
        <v>45839</v>
      </c>
      <c r="P17" s="13">
        <v>951958</v>
      </c>
      <c r="Q17" s="242" t="e">
        <v>#VALUE!</v>
      </c>
    </row>
    <row r="18" spans="1:17" x14ac:dyDescent="0.2">
      <c r="A18" s="4" t="s">
        <v>19</v>
      </c>
      <c r="B18" s="13">
        <v>1468177330.9100001</v>
      </c>
      <c r="C18" s="13">
        <v>1355055913.8900001</v>
      </c>
      <c r="D18" s="13">
        <v>113121417.01999998</v>
      </c>
      <c r="E18" s="13">
        <v>38026096.560000002</v>
      </c>
      <c r="F18" s="13">
        <v>29748591</v>
      </c>
      <c r="G18" s="14">
        <v>3.8</v>
      </c>
      <c r="H18" s="14">
        <v>1.28</v>
      </c>
      <c r="I18" s="13">
        <v>3168841.3800000004</v>
      </c>
      <c r="J18" s="15">
        <v>3</v>
      </c>
      <c r="K18" s="13">
        <v>103614892.87999998</v>
      </c>
      <c r="L18" s="13">
        <v>17874745.00666666</v>
      </c>
      <c r="M18" s="13">
        <v>12916646.50666666</v>
      </c>
      <c r="N18" s="197">
        <v>43647</v>
      </c>
      <c r="O18" s="16">
        <v>45839</v>
      </c>
      <c r="P18" s="13">
        <v>3036771.5</v>
      </c>
      <c r="Q18" s="242" t="e">
        <v>#VALUE!</v>
      </c>
    </row>
    <row r="19" spans="1:17" x14ac:dyDescent="0.2">
      <c r="A19" s="4" t="s">
        <v>54</v>
      </c>
      <c r="B19" s="13">
        <v>1042589157.45</v>
      </c>
      <c r="C19" s="13">
        <v>966144597.20000005</v>
      </c>
      <c r="D19" s="13">
        <v>76444560.25</v>
      </c>
      <c r="E19" s="13">
        <v>20221990.969999999</v>
      </c>
      <c r="F19" s="13">
        <v>20158365</v>
      </c>
      <c r="G19" s="14">
        <v>3.79</v>
      </c>
      <c r="H19" s="14">
        <v>1</v>
      </c>
      <c r="I19" s="13">
        <v>1685165.9141666666</v>
      </c>
      <c r="J19" s="15">
        <v>0</v>
      </c>
      <c r="K19" s="13">
        <v>76444560.25</v>
      </c>
      <c r="L19" s="13" t="s">
        <v>193</v>
      </c>
      <c r="M19" s="13" t="s">
        <v>193</v>
      </c>
      <c r="N19" s="197">
        <v>43922</v>
      </c>
      <c r="O19" s="16">
        <v>45748</v>
      </c>
      <c r="P19" s="13">
        <v>715619</v>
      </c>
      <c r="Q19" s="242" t="e">
        <v>#VALUE!</v>
      </c>
    </row>
    <row r="20" spans="1:17" x14ac:dyDescent="0.2">
      <c r="A20" s="4" t="s">
        <v>16</v>
      </c>
      <c r="B20" s="13">
        <v>107063879</v>
      </c>
      <c r="C20" s="13">
        <v>97049760.510000005</v>
      </c>
      <c r="D20" s="13">
        <v>10014118.489999995</v>
      </c>
      <c r="E20" s="13">
        <v>2173100.2999999998</v>
      </c>
      <c r="F20" s="13">
        <v>2669761</v>
      </c>
      <c r="G20" s="14">
        <v>3.75</v>
      </c>
      <c r="H20" s="14">
        <v>0.81</v>
      </c>
      <c r="I20" s="13">
        <v>181091.69166666665</v>
      </c>
      <c r="J20" s="15">
        <v>3</v>
      </c>
      <c r="K20" s="13">
        <v>9470843.4149999954</v>
      </c>
      <c r="L20" s="13">
        <v>1558198.8299999982</v>
      </c>
      <c r="M20" s="13">
        <v>1113238.6633333315</v>
      </c>
      <c r="N20" s="197">
        <v>43647</v>
      </c>
      <c r="O20" s="16">
        <v>45839</v>
      </c>
      <c r="P20" s="13">
        <v>940233.79</v>
      </c>
      <c r="Q20" s="242" t="e">
        <v>#VALUE!</v>
      </c>
    </row>
    <row r="21" spans="1:17" x14ac:dyDescent="0.2">
      <c r="A21" s="4" t="s">
        <v>38</v>
      </c>
      <c r="B21" s="13">
        <v>1033187132</v>
      </c>
      <c r="C21" s="13">
        <v>953422839.38</v>
      </c>
      <c r="D21" s="13">
        <v>79764292.620000005</v>
      </c>
      <c r="E21" s="13">
        <v>24693782.510000002</v>
      </c>
      <c r="F21" s="13">
        <v>22862412</v>
      </c>
      <c r="G21" s="14">
        <v>3.49</v>
      </c>
      <c r="H21" s="14">
        <v>1.08</v>
      </c>
      <c r="I21" s="13">
        <v>2057815.2091666667</v>
      </c>
      <c r="J21" s="15">
        <v>0</v>
      </c>
      <c r="K21" s="13">
        <v>79764292.620000005</v>
      </c>
      <c r="L21" s="13" t="s">
        <v>193</v>
      </c>
      <c r="M21" s="13" t="s">
        <v>193</v>
      </c>
      <c r="N21" s="197">
        <v>43922</v>
      </c>
      <c r="O21" s="16">
        <v>45748</v>
      </c>
      <c r="P21" s="13">
        <v>1595070.09</v>
      </c>
      <c r="Q21" s="242" t="e">
        <v>#VALUE!</v>
      </c>
    </row>
    <row r="22" spans="1:17" x14ac:dyDescent="0.2">
      <c r="A22" s="4" t="s">
        <v>33</v>
      </c>
      <c r="B22" s="13">
        <v>321862947.48000002</v>
      </c>
      <c r="C22" s="13">
        <v>296943310.94999999</v>
      </c>
      <c r="D22" s="13">
        <v>24919636.530000031</v>
      </c>
      <c r="E22" s="13">
        <v>8253251.2000000002</v>
      </c>
      <c r="F22" s="13">
        <v>7416560</v>
      </c>
      <c r="G22" s="14">
        <v>3.36</v>
      </c>
      <c r="H22" s="14">
        <v>1.1100000000000001</v>
      </c>
      <c r="I22" s="13">
        <v>687770.93333333335</v>
      </c>
      <c r="J22" s="15">
        <v>3</v>
      </c>
      <c r="K22" s="13">
        <v>22856323.73000003</v>
      </c>
      <c r="L22" s="13">
        <v>3362172.176666677</v>
      </c>
      <c r="M22" s="13">
        <v>2126078.8433333435</v>
      </c>
      <c r="N22" s="197">
        <v>43647</v>
      </c>
      <c r="O22" s="16">
        <v>45839</v>
      </c>
      <c r="P22" s="13">
        <v>675200.28</v>
      </c>
      <c r="Q22" s="242" t="e">
        <v>#VALUE!</v>
      </c>
    </row>
    <row r="23" spans="1:17" x14ac:dyDescent="0.2">
      <c r="A23" s="4" t="s">
        <v>28</v>
      </c>
      <c r="B23" s="13">
        <v>1083940953</v>
      </c>
      <c r="C23" s="13">
        <v>1002820641.89</v>
      </c>
      <c r="D23" s="13">
        <v>81120311.110000014</v>
      </c>
      <c r="E23" s="13">
        <v>20296949.390000001</v>
      </c>
      <c r="F23" s="13">
        <v>24208645</v>
      </c>
      <c r="G23" s="14">
        <v>3.35</v>
      </c>
      <c r="H23" s="14">
        <v>0.84</v>
      </c>
      <c r="I23" s="13">
        <v>1691412.4491666667</v>
      </c>
      <c r="J23" s="15">
        <v>9</v>
      </c>
      <c r="K23" s="13">
        <v>65897599.06750001</v>
      </c>
      <c r="L23" s="13">
        <v>3633669.0122222239</v>
      </c>
      <c r="M23" s="13">
        <v>2288744.2900000014</v>
      </c>
      <c r="N23" s="197">
        <v>43831</v>
      </c>
      <c r="O23" s="16">
        <v>46023</v>
      </c>
      <c r="P23" s="13">
        <v>924657</v>
      </c>
      <c r="Q23" s="242" t="e">
        <v>#VALUE!</v>
      </c>
    </row>
    <row r="24" spans="1:17" x14ac:dyDescent="0.2">
      <c r="A24" s="4" t="s">
        <v>45</v>
      </c>
      <c r="B24" s="13">
        <v>1276422533.53</v>
      </c>
      <c r="C24" s="13">
        <v>1117631809.77</v>
      </c>
      <c r="D24" s="13">
        <v>158790723.75999999</v>
      </c>
      <c r="E24" s="13">
        <v>36146187.909999996</v>
      </c>
      <c r="F24" s="13">
        <v>47644860</v>
      </c>
      <c r="G24" s="14">
        <v>3.33</v>
      </c>
      <c r="H24" s="14">
        <v>0.76</v>
      </c>
      <c r="I24" s="13">
        <v>3012182.3258333332</v>
      </c>
      <c r="J24" s="15">
        <v>9</v>
      </c>
      <c r="K24" s="13">
        <v>131681082.82749999</v>
      </c>
      <c r="L24" s="13">
        <v>7055667.0844444437</v>
      </c>
      <c r="M24" s="13">
        <v>4408730.4177777767</v>
      </c>
      <c r="N24" s="197">
        <v>43831</v>
      </c>
      <c r="O24" s="16">
        <v>46023</v>
      </c>
      <c r="P24" s="13">
        <v>1796583.17</v>
      </c>
      <c r="Q24" s="242" t="e">
        <v>#VALUE!</v>
      </c>
    </row>
    <row r="25" spans="1:17" x14ac:dyDescent="0.2">
      <c r="A25" s="4" t="s">
        <v>29</v>
      </c>
      <c r="B25" s="13">
        <v>689945660</v>
      </c>
      <c r="C25" s="13">
        <v>640585157.75999999</v>
      </c>
      <c r="D25" s="13">
        <v>49360502.24000001</v>
      </c>
      <c r="E25" s="13">
        <v>8368561.5999999996</v>
      </c>
      <c r="F25" s="13">
        <v>14901309</v>
      </c>
      <c r="G25" s="14">
        <v>3.31</v>
      </c>
      <c r="H25" s="14">
        <v>0.56000000000000005</v>
      </c>
      <c r="I25" s="13">
        <v>697380.1333333333</v>
      </c>
      <c r="J25" s="15">
        <v>9</v>
      </c>
      <c r="K25" s="13">
        <v>43084081.040000007</v>
      </c>
      <c r="L25" s="13">
        <v>2173098.2488888898</v>
      </c>
      <c r="M25" s="13">
        <v>1345247.74888889</v>
      </c>
      <c r="N25" s="197">
        <v>43466</v>
      </c>
      <c r="O25" s="16">
        <v>46023</v>
      </c>
      <c r="P25" s="13">
        <v>413827.14</v>
      </c>
      <c r="Q25" s="242" t="e">
        <v>#VALUE!</v>
      </c>
    </row>
    <row r="26" spans="1:17" x14ac:dyDescent="0.2">
      <c r="A26" s="4" t="s">
        <v>51</v>
      </c>
      <c r="B26" s="13">
        <v>2041893568.29</v>
      </c>
      <c r="C26" s="13">
        <v>1907258897.1800001</v>
      </c>
      <c r="D26" s="13">
        <v>134634671.1099999</v>
      </c>
      <c r="E26" s="13">
        <v>37458569.890000001</v>
      </c>
      <c r="F26" s="13">
        <v>40828727</v>
      </c>
      <c r="G26" s="14">
        <v>3.3</v>
      </c>
      <c r="H26" s="14">
        <v>0.92</v>
      </c>
      <c r="I26" s="13">
        <v>3121547.4908333332</v>
      </c>
      <c r="J26" s="15">
        <v>9</v>
      </c>
      <c r="K26" s="13">
        <v>106540743.69249989</v>
      </c>
      <c r="L26" s="13">
        <v>5886357.4566666549</v>
      </c>
      <c r="M26" s="13">
        <v>3618094.8455555439</v>
      </c>
      <c r="N26" s="197">
        <v>43831</v>
      </c>
      <c r="O26" s="16">
        <v>46023</v>
      </c>
      <c r="P26" s="13">
        <v>2661041.62</v>
      </c>
      <c r="Q26" s="242" t="e">
        <v>#VALUE!</v>
      </c>
    </row>
    <row r="27" spans="1:17" x14ac:dyDescent="0.2">
      <c r="A27" s="4" t="s">
        <v>24</v>
      </c>
      <c r="B27" s="13">
        <v>1683242657.0699999</v>
      </c>
      <c r="C27" s="13">
        <v>1551509181.4100001</v>
      </c>
      <c r="D27" s="13">
        <v>131733475.65999985</v>
      </c>
      <c r="E27" s="13">
        <v>36291583.82</v>
      </c>
      <c r="F27" s="13">
        <v>40945091</v>
      </c>
      <c r="G27" s="14">
        <v>3.22</v>
      </c>
      <c r="H27" s="14">
        <v>0.89</v>
      </c>
      <c r="I27" s="13">
        <v>3024298.6516666668</v>
      </c>
      <c r="J27" s="15">
        <v>3</v>
      </c>
      <c r="K27" s="13">
        <v>122660579.70499985</v>
      </c>
      <c r="L27" s="13">
        <v>16614431.219999949</v>
      </c>
      <c r="M27" s="13">
        <v>9790249.3866666164</v>
      </c>
      <c r="N27" s="197">
        <v>43647</v>
      </c>
      <c r="O27" s="16">
        <v>45839</v>
      </c>
      <c r="P27" s="13">
        <v>1964424.49</v>
      </c>
      <c r="Q27" s="242" t="e">
        <v>#VALUE!</v>
      </c>
    </row>
    <row r="28" spans="1:17" x14ac:dyDescent="0.2">
      <c r="A28" s="4" t="s">
        <v>21</v>
      </c>
      <c r="B28" s="13">
        <v>542289730.02999997</v>
      </c>
      <c r="C28" s="13">
        <v>497948888.54000002</v>
      </c>
      <c r="D28" s="13">
        <v>44340841.48999995</v>
      </c>
      <c r="E28" s="13">
        <v>12930528.48</v>
      </c>
      <c r="F28" s="13">
        <v>13960891</v>
      </c>
      <c r="G28" s="14">
        <v>3.18</v>
      </c>
      <c r="H28" s="14">
        <v>0.93</v>
      </c>
      <c r="I28" s="13">
        <v>1077544.04</v>
      </c>
      <c r="J28" s="15">
        <v>3</v>
      </c>
      <c r="K28" s="13">
        <v>41108209.369999953</v>
      </c>
      <c r="L28" s="13">
        <v>5473019.8299999833</v>
      </c>
      <c r="M28" s="13">
        <v>3146204.6633333168</v>
      </c>
      <c r="N28" s="197">
        <v>43647</v>
      </c>
      <c r="O28" s="16">
        <v>45839</v>
      </c>
      <c r="P28" s="13">
        <v>2095046.56</v>
      </c>
      <c r="Q28" s="242" t="e">
        <v>#VALUE!</v>
      </c>
    </row>
    <row r="29" spans="1:17" x14ac:dyDescent="0.2">
      <c r="A29" s="4" t="s">
        <v>55</v>
      </c>
      <c r="B29" s="13">
        <v>259883413</v>
      </c>
      <c r="C29" s="13">
        <v>242113133.25</v>
      </c>
      <c r="D29" s="13">
        <v>17770279.75</v>
      </c>
      <c r="E29" s="13">
        <v>7003283.3099999996</v>
      </c>
      <c r="F29" s="13">
        <v>5643956</v>
      </c>
      <c r="G29" s="14">
        <v>3.15</v>
      </c>
      <c r="H29" s="14">
        <v>1.24</v>
      </c>
      <c r="I29" s="13">
        <v>583606.9425</v>
      </c>
      <c r="J29" s="15">
        <v>9</v>
      </c>
      <c r="K29" s="13">
        <v>12517817.2675</v>
      </c>
      <c r="L29" s="13">
        <v>720263.08333333337</v>
      </c>
      <c r="M29" s="13" t="s">
        <v>192</v>
      </c>
      <c r="N29" s="197">
        <v>43831</v>
      </c>
      <c r="O29" s="16">
        <v>46023</v>
      </c>
      <c r="P29" s="13">
        <v>0</v>
      </c>
      <c r="Q29" s="242" t="e">
        <v>#VALUE!</v>
      </c>
    </row>
    <row r="30" spans="1:17" x14ac:dyDescent="0.2">
      <c r="A30" s="4" t="s">
        <v>56</v>
      </c>
      <c r="B30" s="13">
        <v>1182377479</v>
      </c>
      <c r="C30" s="13">
        <v>1096699754.8900001</v>
      </c>
      <c r="D30" s="13">
        <v>85677724.109999895</v>
      </c>
      <c r="E30" s="13">
        <v>20918657.469999999</v>
      </c>
      <c r="F30" s="13">
        <v>27472066</v>
      </c>
      <c r="G30" s="14">
        <v>3.12</v>
      </c>
      <c r="H30" s="14">
        <v>0.76</v>
      </c>
      <c r="I30" s="13">
        <v>1743221.4558333333</v>
      </c>
      <c r="J30" s="15">
        <v>3</v>
      </c>
      <c r="K30" s="13">
        <v>80448059.742499888</v>
      </c>
      <c r="L30" s="13">
        <v>10244530.703333298</v>
      </c>
      <c r="M30" s="13">
        <v>5665853.0366666317</v>
      </c>
      <c r="N30" s="197">
        <v>43647</v>
      </c>
      <c r="O30" s="16">
        <v>45839</v>
      </c>
      <c r="P30" s="13">
        <v>1161544.43</v>
      </c>
      <c r="Q30" s="242" t="e">
        <v>#VALUE!</v>
      </c>
    </row>
    <row r="31" spans="1:17" x14ac:dyDescent="0.2">
      <c r="A31" s="4" t="s">
        <v>53</v>
      </c>
      <c r="B31" s="13">
        <v>203184641.25</v>
      </c>
      <c r="C31" s="13">
        <v>186600750.56</v>
      </c>
      <c r="D31" s="13">
        <v>16583890.689999998</v>
      </c>
      <c r="E31" s="13">
        <v>7328493.4699999997</v>
      </c>
      <c r="F31" s="13">
        <v>5655134</v>
      </c>
      <c r="G31" s="14">
        <v>2.93</v>
      </c>
      <c r="H31" s="14">
        <v>1.3</v>
      </c>
      <c r="I31" s="13">
        <v>610707.78916666668</v>
      </c>
      <c r="J31" s="15">
        <v>3</v>
      </c>
      <c r="K31" s="13">
        <v>14751767.322499998</v>
      </c>
      <c r="L31" s="13">
        <v>1757874.2299999993</v>
      </c>
      <c r="M31" s="13">
        <v>815351.89666666591</v>
      </c>
      <c r="N31" s="197">
        <v>43647</v>
      </c>
      <c r="O31" s="16">
        <v>45839</v>
      </c>
      <c r="P31" s="13">
        <v>0</v>
      </c>
      <c r="Q31" s="242" t="e">
        <v>#VALUE!</v>
      </c>
    </row>
    <row r="32" spans="1:17" x14ac:dyDescent="0.2">
      <c r="A32" s="4" t="s">
        <v>42</v>
      </c>
      <c r="B32" s="13">
        <v>355494147</v>
      </c>
      <c r="C32" s="13">
        <v>328140846.26999998</v>
      </c>
      <c r="D32" s="13">
        <v>27353300.730000019</v>
      </c>
      <c r="E32" s="13">
        <v>7146048.9299999997</v>
      </c>
      <c r="F32" s="13">
        <v>9435207</v>
      </c>
      <c r="G32" s="14">
        <v>2.9</v>
      </c>
      <c r="H32" s="14">
        <v>0.76</v>
      </c>
      <c r="I32" s="13">
        <v>595504.07750000001</v>
      </c>
      <c r="J32" s="15">
        <v>9</v>
      </c>
      <c r="K32" s="13">
        <v>21993764.032500021</v>
      </c>
      <c r="L32" s="13">
        <v>942542.97000000207</v>
      </c>
      <c r="M32" s="13" t="s">
        <v>192</v>
      </c>
      <c r="N32" s="197">
        <v>43831</v>
      </c>
      <c r="O32" s="16">
        <v>46023</v>
      </c>
      <c r="P32" s="13">
        <v>151288.75</v>
      </c>
      <c r="Q32" s="242" t="e">
        <v>#VALUE!</v>
      </c>
    </row>
    <row r="33" spans="1:17" x14ac:dyDescent="0.2">
      <c r="A33" s="4" t="s">
        <v>61</v>
      </c>
      <c r="B33" s="13">
        <v>535148479</v>
      </c>
      <c r="C33" s="13">
        <v>497250738.00999999</v>
      </c>
      <c r="D33" s="13">
        <v>37897740.99000001</v>
      </c>
      <c r="E33" s="13">
        <v>9834216.4700000007</v>
      </c>
      <c r="F33" s="13">
        <v>13099382</v>
      </c>
      <c r="G33" s="14">
        <v>2.89</v>
      </c>
      <c r="H33" s="14">
        <v>0.75</v>
      </c>
      <c r="I33" s="13">
        <v>819518.03916666668</v>
      </c>
      <c r="J33" s="15">
        <v>3</v>
      </c>
      <c r="K33" s="13">
        <v>35439186.87250001</v>
      </c>
      <c r="L33" s="13">
        <v>3899658.9966666698</v>
      </c>
      <c r="M33" s="13">
        <v>1716428.6633333366</v>
      </c>
      <c r="N33" s="197">
        <v>43647</v>
      </c>
      <c r="O33" s="16">
        <v>45839</v>
      </c>
      <c r="P33" s="13">
        <v>322580.65999999997</v>
      </c>
      <c r="Q33" s="242" t="e">
        <v>#VALUE!</v>
      </c>
    </row>
    <row r="34" spans="1:17" x14ac:dyDescent="0.2">
      <c r="A34" s="4" t="s">
        <v>27</v>
      </c>
      <c r="B34" s="13">
        <v>1340428223.5599999</v>
      </c>
      <c r="C34" s="13">
        <v>1254414899.73</v>
      </c>
      <c r="D34" s="13">
        <v>86013323.829999924</v>
      </c>
      <c r="E34" s="13">
        <v>23102336.280000001</v>
      </c>
      <c r="F34" s="13">
        <v>30689455</v>
      </c>
      <c r="G34" s="14">
        <v>2.8</v>
      </c>
      <c r="H34" s="14">
        <v>0.75</v>
      </c>
      <c r="I34" s="13">
        <v>1925194.6900000002</v>
      </c>
      <c r="J34" s="15">
        <v>3</v>
      </c>
      <c r="K34" s="13">
        <v>80237739.759999931</v>
      </c>
      <c r="L34" s="13">
        <v>8211471.2766666412</v>
      </c>
      <c r="M34" s="13">
        <v>3096562.1099999747</v>
      </c>
      <c r="N34" s="197">
        <v>43647</v>
      </c>
      <c r="O34" s="16">
        <v>45839</v>
      </c>
      <c r="P34" s="13">
        <v>250243.85</v>
      </c>
      <c r="Q34" s="242" t="e">
        <v>#VALUE!</v>
      </c>
    </row>
    <row r="35" spans="1:17" x14ac:dyDescent="0.2">
      <c r="A35" s="4" t="s">
        <v>20</v>
      </c>
      <c r="B35" s="13">
        <v>392596167.93000001</v>
      </c>
      <c r="C35" s="13">
        <v>366622426.26999998</v>
      </c>
      <c r="D35" s="13">
        <v>25973741.660000026</v>
      </c>
      <c r="E35" s="13">
        <v>4758160.42</v>
      </c>
      <c r="F35" s="13">
        <v>9305817</v>
      </c>
      <c r="G35" s="14">
        <v>2.79</v>
      </c>
      <c r="H35" s="14">
        <v>0.51</v>
      </c>
      <c r="I35" s="13">
        <v>396513.36833333335</v>
      </c>
      <c r="J35" s="15">
        <v>0</v>
      </c>
      <c r="K35" s="13">
        <v>25973741.660000026</v>
      </c>
      <c r="L35" s="13" t="s">
        <v>193</v>
      </c>
      <c r="M35" s="13" t="s">
        <v>193</v>
      </c>
      <c r="N35" s="197">
        <v>43556</v>
      </c>
      <c r="O35" s="16">
        <v>45748</v>
      </c>
      <c r="P35" s="13">
        <v>61993.35</v>
      </c>
      <c r="Q35" s="242" t="e">
        <v>#VALUE!</v>
      </c>
    </row>
    <row r="36" spans="1:17" x14ac:dyDescent="0.2">
      <c r="A36" s="4" t="s">
        <v>57</v>
      </c>
      <c r="B36" s="13">
        <v>2950491414.54</v>
      </c>
      <c r="C36" s="13">
        <v>2752389506.9299998</v>
      </c>
      <c r="D36" s="13">
        <v>198101907.61000013</v>
      </c>
      <c r="E36" s="13">
        <v>60380009.43</v>
      </c>
      <c r="F36" s="13">
        <v>71178309</v>
      </c>
      <c r="G36" s="14">
        <v>2.78</v>
      </c>
      <c r="H36" s="14">
        <v>0.85</v>
      </c>
      <c r="I36" s="13">
        <v>5031667.4524999997</v>
      </c>
      <c r="J36" s="15">
        <v>5</v>
      </c>
      <c r="K36" s="13">
        <v>172943570.34750015</v>
      </c>
      <c r="L36" s="13">
        <v>11149057.922000026</v>
      </c>
      <c r="M36" s="13" t="s">
        <v>192</v>
      </c>
      <c r="N36" s="197">
        <v>44075</v>
      </c>
      <c r="O36" s="16">
        <v>45901</v>
      </c>
      <c r="P36" s="13">
        <v>1601484.25</v>
      </c>
      <c r="Q36" s="242" t="e">
        <v>#VALUE!</v>
      </c>
    </row>
    <row r="37" spans="1:17" x14ac:dyDescent="0.2">
      <c r="A37" s="4" t="s">
        <v>15</v>
      </c>
      <c r="B37" s="13">
        <v>1108314599.5</v>
      </c>
      <c r="C37" s="13">
        <v>1047232437.15</v>
      </c>
      <c r="D37" s="13">
        <v>61082162.350000024</v>
      </c>
      <c r="E37" s="13">
        <v>21827664.559999999</v>
      </c>
      <c r="F37" s="13">
        <v>23039495</v>
      </c>
      <c r="G37" s="14">
        <v>2.65</v>
      </c>
      <c r="H37" s="14">
        <v>0.95</v>
      </c>
      <c r="I37" s="13">
        <v>1818972.0466666666</v>
      </c>
      <c r="J37" s="15">
        <v>0</v>
      </c>
      <c r="K37" s="13">
        <v>61082162.350000024</v>
      </c>
      <c r="L37" s="13" t="s">
        <v>193</v>
      </c>
      <c r="M37" s="13" t="s">
        <v>193</v>
      </c>
      <c r="N37" s="197">
        <v>43556</v>
      </c>
      <c r="O37" s="16">
        <v>45748</v>
      </c>
      <c r="P37" s="13">
        <v>1680317.8</v>
      </c>
      <c r="Q37" s="242" t="e">
        <v>#VALUE!</v>
      </c>
    </row>
    <row r="38" spans="1:17" x14ac:dyDescent="0.2">
      <c r="A38" s="4" t="s">
        <v>25</v>
      </c>
      <c r="B38" s="13">
        <v>351543186.45999998</v>
      </c>
      <c r="C38" s="13">
        <v>329184289.82999998</v>
      </c>
      <c r="D38" s="13">
        <v>22358896.629999995</v>
      </c>
      <c r="E38" s="13">
        <v>6310281.7400000002</v>
      </c>
      <c r="F38" s="13">
        <v>8658249</v>
      </c>
      <c r="G38" s="14">
        <v>2.58</v>
      </c>
      <c r="H38" s="14">
        <v>0.73</v>
      </c>
      <c r="I38" s="13">
        <v>525856.81166666665</v>
      </c>
      <c r="J38" s="15">
        <v>0</v>
      </c>
      <c r="K38" s="13">
        <v>22358896.629999995</v>
      </c>
      <c r="L38" s="13" t="s">
        <v>193</v>
      </c>
      <c r="M38" s="13" t="s">
        <v>193</v>
      </c>
      <c r="N38" s="197">
        <v>43556</v>
      </c>
      <c r="O38" s="16">
        <v>45748</v>
      </c>
      <c r="P38" s="13">
        <v>0</v>
      </c>
      <c r="Q38" s="242" t="e">
        <v>#VALUE!</v>
      </c>
    </row>
    <row r="39" spans="1:17" x14ac:dyDescent="0.2">
      <c r="A39" s="4" t="s">
        <v>31</v>
      </c>
      <c r="B39" s="13">
        <v>1227877221</v>
      </c>
      <c r="C39" s="13">
        <v>1169127701.1900001</v>
      </c>
      <c r="D39" s="13">
        <v>58749519.809999943</v>
      </c>
      <c r="E39" s="13">
        <v>20620307.710000001</v>
      </c>
      <c r="F39" s="13">
        <v>22761731</v>
      </c>
      <c r="G39" s="14">
        <v>2.58</v>
      </c>
      <c r="H39" s="14">
        <v>0.91</v>
      </c>
      <c r="I39" s="13">
        <v>1718358.9758333333</v>
      </c>
      <c r="J39" s="15">
        <v>0</v>
      </c>
      <c r="K39" s="13">
        <v>58749519.809999943</v>
      </c>
      <c r="L39" s="13" t="s">
        <v>193</v>
      </c>
      <c r="M39" s="13" t="s">
        <v>193</v>
      </c>
      <c r="N39" s="197">
        <v>43922</v>
      </c>
      <c r="O39" s="16">
        <v>45748</v>
      </c>
      <c r="P39" s="13">
        <v>525019.76</v>
      </c>
      <c r="Q39" s="242" t="e">
        <v>#VALUE!</v>
      </c>
    </row>
    <row r="40" spans="1:17" x14ac:dyDescent="0.2">
      <c r="A40" s="4" t="s">
        <v>59</v>
      </c>
      <c r="B40" s="13">
        <v>285086766</v>
      </c>
      <c r="C40" s="13">
        <v>266642791</v>
      </c>
      <c r="D40" s="13">
        <v>18443975</v>
      </c>
      <c r="E40" s="13">
        <v>8682567.4100000001</v>
      </c>
      <c r="F40" s="13">
        <v>7485780</v>
      </c>
      <c r="G40" s="14">
        <v>2.46</v>
      </c>
      <c r="H40" s="14">
        <v>1.1599999999999999</v>
      </c>
      <c r="I40" s="13">
        <v>723547.28416666668</v>
      </c>
      <c r="J40" s="15">
        <v>3</v>
      </c>
      <c r="K40" s="13">
        <v>16273333.147500001</v>
      </c>
      <c r="L40" s="13">
        <v>1157471.6666666667</v>
      </c>
      <c r="M40" s="13" t="s">
        <v>192</v>
      </c>
      <c r="N40" s="197">
        <v>43647</v>
      </c>
      <c r="O40" s="16">
        <v>45839</v>
      </c>
      <c r="P40" s="13">
        <v>371175</v>
      </c>
      <c r="Q40" s="242" t="e">
        <v>#VALUE!</v>
      </c>
    </row>
    <row r="41" spans="1:17" x14ac:dyDescent="0.2">
      <c r="A41" s="4" t="s">
        <v>37</v>
      </c>
      <c r="B41" s="13">
        <v>1239388142.8299999</v>
      </c>
      <c r="C41" s="13">
        <v>1181934198.6600001</v>
      </c>
      <c r="D41" s="13">
        <v>57453944.169999838</v>
      </c>
      <c r="E41" s="13">
        <v>17351417.030000001</v>
      </c>
      <c r="F41" s="13">
        <v>24088947</v>
      </c>
      <c r="G41" s="14">
        <v>2.39</v>
      </c>
      <c r="H41" s="14">
        <v>0.72</v>
      </c>
      <c r="I41" s="13">
        <v>1445951.4191666667</v>
      </c>
      <c r="J41" s="15">
        <v>3</v>
      </c>
      <c r="K41" s="13">
        <v>53116089.912499838</v>
      </c>
      <c r="L41" s="13">
        <v>3092016.7233332791</v>
      </c>
      <c r="M41" s="13" t="s">
        <v>192</v>
      </c>
      <c r="N41" s="197">
        <v>43647</v>
      </c>
      <c r="O41" s="16">
        <v>45839</v>
      </c>
      <c r="P41" s="13">
        <v>542240.61</v>
      </c>
      <c r="Q41" s="242" t="e">
        <v>#VALUE!</v>
      </c>
    </row>
    <row r="42" spans="1:17" x14ac:dyDescent="0.2">
      <c r="A42" s="4" t="s">
        <v>18</v>
      </c>
      <c r="B42" s="13">
        <v>799406417.05999994</v>
      </c>
      <c r="C42" s="13">
        <v>758032866.39999998</v>
      </c>
      <c r="D42" s="13">
        <v>41373550.659999967</v>
      </c>
      <c r="E42" s="13">
        <v>27179087.34</v>
      </c>
      <c r="F42" s="13">
        <v>17480755</v>
      </c>
      <c r="G42" s="14">
        <v>2.37</v>
      </c>
      <c r="H42" s="14">
        <v>1.55</v>
      </c>
      <c r="I42" s="13">
        <v>2264923.9449999998</v>
      </c>
      <c r="J42" s="15">
        <v>3</v>
      </c>
      <c r="K42" s="13">
        <v>34578778.824999966</v>
      </c>
      <c r="L42" s="13" t="s">
        <v>192</v>
      </c>
      <c r="M42" s="13" t="s">
        <v>192</v>
      </c>
      <c r="N42" s="197">
        <v>43647</v>
      </c>
      <c r="O42" s="16">
        <v>45839</v>
      </c>
      <c r="P42" s="13">
        <v>498084.53</v>
      </c>
      <c r="Q42" s="242" t="e">
        <v>#VALUE!</v>
      </c>
    </row>
    <row r="43" spans="1:17" x14ac:dyDescent="0.2">
      <c r="A43" s="4" t="s">
        <v>49</v>
      </c>
      <c r="B43" s="13">
        <v>699328036.19000006</v>
      </c>
      <c r="C43" s="13">
        <v>667122068.79999995</v>
      </c>
      <c r="D43" s="13">
        <v>32205967.390000105</v>
      </c>
      <c r="E43" s="13">
        <v>12473039.449999999</v>
      </c>
      <c r="F43" s="13">
        <v>14024709</v>
      </c>
      <c r="G43" s="14">
        <v>2.2999999999999998</v>
      </c>
      <c r="H43" s="14">
        <v>0.89</v>
      </c>
      <c r="I43" s="13">
        <v>1039419.9541666666</v>
      </c>
      <c r="J43" s="15">
        <v>0</v>
      </c>
      <c r="K43" s="13">
        <v>32205967.390000105</v>
      </c>
      <c r="L43" s="13" t="s">
        <v>193</v>
      </c>
      <c r="M43" s="13" t="s">
        <v>192</v>
      </c>
      <c r="N43" s="197">
        <v>43922</v>
      </c>
      <c r="O43" s="16">
        <v>45748</v>
      </c>
      <c r="P43" s="13">
        <v>521958.15</v>
      </c>
      <c r="Q43" s="242" t="e">
        <v>#VALUE!</v>
      </c>
    </row>
    <row r="44" spans="1:17" x14ac:dyDescent="0.2">
      <c r="A44" s="4" t="s">
        <v>50</v>
      </c>
      <c r="B44" s="13">
        <v>557171086.30999994</v>
      </c>
      <c r="C44" s="13">
        <v>530469982.41000003</v>
      </c>
      <c r="D44" s="13">
        <v>26701103.899999917</v>
      </c>
      <c r="E44" s="13">
        <v>16346744.1</v>
      </c>
      <c r="F44" s="13">
        <v>11761407</v>
      </c>
      <c r="G44" s="14">
        <v>2.27</v>
      </c>
      <c r="H44" s="14">
        <v>1.39</v>
      </c>
      <c r="I44" s="13">
        <v>1362228.675</v>
      </c>
      <c r="J44" s="15">
        <v>9</v>
      </c>
      <c r="K44" s="13">
        <v>14441045.824999915</v>
      </c>
      <c r="L44" s="13" t="s">
        <v>192</v>
      </c>
      <c r="M44" s="13" t="s">
        <v>192</v>
      </c>
      <c r="N44" s="197">
        <v>43831</v>
      </c>
      <c r="O44" s="16">
        <v>46023</v>
      </c>
      <c r="P44" s="13">
        <v>573895</v>
      </c>
      <c r="Q44" s="242" t="e">
        <v>#VALUE!</v>
      </c>
    </row>
    <row r="45" spans="1:17" x14ac:dyDescent="0.2">
      <c r="A45" s="4" t="s">
        <v>34</v>
      </c>
      <c r="B45" s="13">
        <v>1428807757.99</v>
      </c>
      <c r="C45" s="13">
        <v>1352476217.4100001</v>
      </c>
      <c r="D45" s="13">
        <v>76331540.579999924</v>
      </c>
      <c r="E45" s="13">
        <v>50518177.909999996</v>
      </c>
      <c r="F45" s="13">
        <v>34424780</v>
      </c>
      <c r="G45" s="14">
        <v>2.2200000000000002</v>
      </c>
      <c r="H45" s="14">
        <v>1.47</v>
      </c>
      <c r="I45" s="13">
        <v>4209848.1591666667</v>
      </c>
      <c r="J45" s="15">
        <v>0</v>
      </c>
      <c r="K45" s="13">
        <v>76331540.579999924</v>
      </c>
      <c r="L45" s="13" t="s">
        <v>193</v>
      </c>
      <c r="M45" s="13" t="s">
        <v>192</v>
      </c>
      <c r="N45" s="197">
        <v>43922</v>
      </c>
      <c r="O45" s="16">
        <v>45748</v>
      </c>
      <c r="P45" s="13">
        <v>6103465.0099999998</v>
      </c>
      <c r="Q45" s="242" t="e">
        <v>#VALUE!</v>
      </c>
    </row>
    <row r="46" spans="1:17" x14ac:dyDescent="0.2">
      <c r="A46" s="4" t="s">
        <v>41</v>
      </c>
      <c r="B46" s="13">
        <v>101611843</v>
      </c>
      <c r="C46" s="13">
        <v>95187065.510000005</v>
      </c>
      <c r="D46" s="13">
        <v>6424777.4899999946</v>
      </c>
      <c r="E46" s="13">
        <v>2853809.7</v>
      </c>
      <c r="F46" s="13">
        <v>2910779</v>
      </c>
      <c r="G46" s="14">
        <v>2.21</v>
      </c>
      <c r="H46" s="14">
        <v>0.98</v>
      </c>
      <c r="I46" s="13">
        <v>237817.47500000001</v>
      </c>
      <c r="J46" s="15">
        <v>3</v>
      </c>
      <c r="K46" s="13">
        <v>5711325.0649999948</v>
      </c>
      <c r="L46" s="13" t="s">
        <v>192</v>
      </c>
      <c r="M46" s="13" t="s">
        <v>192</v>
      </c>
      <c r="N46" s="197">
        <v>43647</v>
      </c>
      <c r="O46" s="16">
        <v>45839</v>
      </c>
      <c r="P46" s="13">
        <v>35350</v>
      </c>
      <c r="Q46" s="242" t="e">
        <v>#VALUE!</v>
      </c>
    </row>
    <row r="47" spans="1:17" x14ac:dyDescent="0.2">
      <c r="A47" s="4" t="s">
        <v>48</v>
      </c>
      <c r="B47" s="13">
        <v>1985336227.8699999</v>
      </c>
      <c r="C47" s="13">
        <v>1884758670.02</v>
      </c>
      <c r="D47" s="13">
        <v>100577557.8499999</v>
      </c>
      <c r="E47" s="13">
        <v>42794984.909999996</v>
      </c>
      <c r="F47" s="13">
        <v>45588088</v>
      </c>
      <c r="G47" s="14">
        <v>2.21</v>
      </c>
      <c r="H47" s="14">
        <v>0.94</v>
      </c>
      <c r="I47" s="13">
        <v>3566248.7424999997</v>
      </c>
      <c r="J47" s="15">
        <v>3</v>
      </c>
      <c r="K47" s="13">
        <v>89878811.622499913</v>
      </c>
      <c r="L47" s="13" t="s">
        <v>192</v>
      </c>
      <c r="M47" s="13" t="s">
        <v>192</v>
      </c>
      <c r="N47" s="197">
        <v>43647</v>
      </c>
      <c r="O47" s="16">
        <v>45839</v>
      </c>
      <c r="P47" s="13">
        <v>1547922.81</v>
      </c>
      <c r="Q47" s="242" t="e">
        <v>#VALUE!</v>
      </c>
    </row>
    <row r="48" spans="1:17" x14ac:dyDescent="0.2">
      <c r="A48" s="4" t="s">
        <v>63</v>
      </c>
      <c r="B48" s="13">
        <v>1110426785</v>
      </c>
      <c r="C48" s="13">
        <v>1052613383.5599999</v>
      </c>
      <c r="D48" s="13">
        <v>57813401.440000057</v>
      </c>
      <c r="E48" s="13">
        <v>22337292.100000001</v>
      </c>
      <c r="F48" s="13">
        <v>27485501</v>
      </c>
      <c r="G48" s="14">
        <v>2.1</v>
      </c>
      <c r="H48" s="14">
        <v>0.81</v>
      </c>
      <c r="I48" s="13">
        <v>1861441.0083333335</v>
      </c>
      <c r="J48" s="15">
        <v>0</v>
      </c>
      <c r="K48" s="13">
        <v>57813401.440000057</v>
      </c>
      <c r="L48" s="13" t="s">
        <v>193</v>
      </c>
      <c r="M48" s="13" t="s">
        <v>192</v>
      </c>
      <c r="N48" s="197">
        <v>43922</v>
      </c>
      <c r="O48" s="16">
        <v>45748</v>
      </c>
      <c r="P48" s="13">
        <v>3165036.75</v>
      </c>
      <c r="Q48" s="242" t="e">
        <v>#VALUE!</v>
      </c>
    </row>
    <row r="49" spans="1:17" x14ac:dyDescent="0.2">
      <c r="A49" s="4" t="s">
        <v>32</v>
      </c>
      <c r="B49" s="13">
        <v>509113932</v>
      </c>
      <c r="C49" s="13">
        <v>484439500.13</v>
      </c>
      <c r="D49" s="13">
        <v>24674431.870000005</v>
      </c>
      <c r="E49" s="13">
        <v>10358049.890000001</v>
      </c>
      <c r="F49" s="13">
        <v>11867952</v>
      </c>
      <c r="G49" s="14">
        <v>2.08</v>
      </c>
      <c r="H49" s="14">
        <v>0.87</v>
      </c>
      <c r="I49" s="13">
        <v>863170.82416666672</v>
      </c>
      <c r="J49" s="15">
        <v>9</v>
      </c>
      <c r="K49" s="13">
        <v>16905894.452500004</v>
      </c>
      <c r="L49" s="13" t="s">
        <v>192</v>
      </c>
      <c r="M49" s="13" t="s">
        <v>192</v>
      </c>
      <c r="N49" s="197">
        <v>43831</v>
      </c>
      <c r="O49" s="16">
        <v>46023</v>
      </c>
      <c r="P49" s="13">
        <v>1007513.9</v>
      </c>
      <c r="Q49" s="242" t="e">
        <v>#VALUE!</v>
      </c>
    </row>
    <row r="50" spans="1:17" x14ac:dyDescent="0.2">
      <c r="A50" s="4" t="s">
        <v>17</v>
      </c>
      <c r="B50" s="13">
        <v>398824318</v>
      </c>
      <c r="C50" s="13">
        <v>379333105.57999998</v>
      </c>
      <c r="D50" s="13">
        <v>19491212.420000017</v>
      </c>
      <c r="E50" s="13">
        <v>11617809.5</v>
      </c>
      <c r="F50" s="13">
        <v>9664284</v>
      </c>
      <c r="G50" s="14">
        <v>2.02</v>
      </c>
      <c r="H50" s="14">
        <v>1.2</v>
      </c>
      <c r="I50" s="13">
        <v>968150.79166666663</v>
      </c>
      <c r="J50" s="15">
        <v>3</v>
      </c>
      <c r="K50" s="13">
        <v>16586760.045000017</v>
      </c>
      <c r="L50" s="13" t="s">
        <v>192</v>
      </c>
      <c r="M50" s="13" t="s">
        <v>192</v>
      </c>
      <c r="N50" s="197">
        <v>43647</v>
      </c>
      <c r="O50" s="16">
        <v>45839</v>
      </c>
      <c r="P50" s="13">
        <v>718760.52</v>
      </c>
      <c r="Q50" s="242" t="e">
        <v>#VALUE!</v>
      </c>
    </row>
    <row r="51" spans="1:17" x14ac:dyDescent="0.2">
      <c r="A51" s="4" t="s">
        <v>58</v>
      </c>
      <c r="B51" s="13">
        <v>243764651</v>
      </c>
      <c r="C51" s="13">
        <v>234058959.96000001</v>
      </c>
      <c r="D51" s="13">
        <v>9705691.0399999917</v>
      </c>
      <c r="E51" s="13">
        <v>5932882.9299999997</v>
      </c>
      <c r="F51" s="13">
        <v>5561418</v>
      </c>
      <c r="G51" s="14">
        <v>1.75</v>
      </c>
      <c r="H51" s="14">
        <v>1.07</v>
      </c>
      <c r="I51" s="13">
        <v>494406.91083333333</v>
      </c>
      <c r="J51" s="15">
        <v>3</v>
      </c>
      <c r="K51" s="13">
        <v>8222470.3074999917</v>
      </c>
      <c r="L51" s="13" t="s">
        <v>192</v>
      </c>
      <c r="M51" s="13" t="s">
        <v>192</v>
      </c>
      <c r="N51" s="197">
        <v>43647</v>
      </c>
      <c r="O51" s="16">
        <v>45839</v>
      </c>
      <c r="P51" s="13">
        <v>261952.62</v>
      </c>
      <c r="Q51" s="242" t="e">
        <v>#VALUE!</v>
      </c>
    </row>
    <row r="52" spans="1:17" x14ac:dyDescent="0.2">
      <c r="A52" s="4" t="s">
        <v>22</v>
      </c>
      <c r="B52" s="13">
        <v>78247436</v>
      </c>
      <c r="C52" s="13">
        <v>74216147.840000004</v>
      </c>
      <c r="D52" s="18">
        <v>4031288.1599999964</v>
      </c>
      <c r="E52" s="13">
        <v>2464161.88</v>
      </c>
      <c r="F52" s="13">
        <v>2776815</v>
      </c>
      <c r="G52" s="14">
        <v>1.45</v>
      </c>
      <c r="H52" s="14">
        <v>0.89</v>
      </c>
      <c r="I52" s="18">
        <v>205346.82333333333</v>
      </c>
      <c r="J52" s="15">
        <v>3</v>
      </c>
      <c r="K52" s="18">
        <v>3415247.6899999967</v>
      </c>
      <c r="L52" s="18" t="s">
        <v>192</v>
      </c>
      <c r="M52" s="18" t="s">
        <v>192</v>
      </c>
      <c r="N52" s="198">
        <v>43647</v>
      </c>
      <c r="O52" s="16">
        <v>45839</v>
      </c>
      <c r="P52" s="13">
        <v>4265.3999999999996</v>
      </c>
      <c r="Q52" s="242" t="e">
        <v>#VALUE!</v>
      </c>
    </row>
    <row r="53" spans="1:17" x14ac:dyDescent="0.25">
      <c r="A53" s="36" t="s">
        <v>65</v>
      </c>
      <c r="B53" s="33">
        <v>43979738182.440002</v>
      </c>
      <c r="C53" s="13">
        <v>40611864595.300003</v>
      </c>
      <c r="D53" s="33">
        <v>3367873587.1399994</v>
      </c>
      <c r="E53" s="13">
        <v>924749954.85000002</v>
      </c>
      <c r="F53" s="13">
        <v>983633269</v>
      </c>
      <c r="G53" s="14">
        <v>3.42</v>
      </c>
      <c r="H53" s="14">
        <v>0.94</v>
      </c>
      <c r="I53" s="33">
        <v>77062496.237499997</v>
      </c>
      <c r="J53" s="34"/>
      <c r="K53" s="35"/>
      <c r="L53" s="35"/>
      <c r="M53" s="35"/>
      <c r="N53" s="35"/>
      <c r="O53" s="35"/>
      <c r="P53" s="33">
        <v>54541771.789999992</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37</v>
      </c>
      <c r="H56" s="25"/>
    </row>
    <row r="57" spans="1:17" ht="27" customHeight="1" thickBot="1" x14ac:dyDescent="0.3">
      <c r="D57" s="248" t="s">
        <v>67</v>
      </c>
      <c r="E57" s="249"/>
      <c r="F57" s="249"/>
      <c r="G57" s="27"/>
      <c r="H57" s="28">
        <v>35</v>
      </c>
    </row>
  </sheetData>
  <mergeCells count="2">
    <mergeCell ref="D56:F56"/>
    <mergeCell ref="D57:F57"/>
  </mergeCells>
  <conditionalFormatting sqref="G54">
    <cfRule type="cellIs" dxfId="209" priority="13" stopIfTrue="1" operator="greaterThan">
      <formula>2.5</formula>
    </cfRule>
    <cfRule type="cellIs" dxfId="208" priority="14" stopIfTrue="1" operator="between">
      <formula>2.01</formula>
      <formula>2.5</formula>
    </cfRule>
  </conditionalFormatting>
  <conditionalFormatting sqref="H3:H53">
    <cfRule type="cellIs" dxfId="207" priority="12" stopIfTrue="1" operator="lessThan">
      <formula>1</formula>
    </cfRule>
  </conditionalFormatting>
  <conditionalFormatting sqref="G3:G53">
    <cfRule type="cellIs" dxfId="206" priority="10" stopIfTrue="1" operator="greaterThan">
      <formula>2.5</formula>
    </cfRule>
    <cfRule type="cellIs" dxfId="205" priority="11" stopIfTrue="1" operator="between">
      <formula>2.01</formula>
      <formula>2.5</formula>
    </cfRule>
  </conditionalFormatting>
  <conditionalFormatting sqref="K3:K52">
    <cfRule type="cellIs" dxfId="204" priority="8" stopIfTrue="1" operator="greaterThan">
      <formula>$F3*2.5</formula>
    </cfRule>
    <cfRule type="cellIs" dxfId="203" priority="9" stopIfTrue="1" operator="between">
      <formula>$F3*2</formula>
      <formula>$F3*2.5</formula>
    </cfRule>
  </conditionalFormatting>
  <conditionalFormatting sqref="G54">
    <cfRule type="cellIs" dxfId="202" priority="6" stopIfTrue="1" operator="greaterThan">
      <formula>2.5</formula>
    </cfRule>
    <cfRule type="cellIs" dxfId="201" priority="7" stopIfTrue="1" operator="between">
      <formula>2.01</formula>
      <formula>2.5</formula>
    </cfRule>
  </conditionalFormatting>
  <conditionalFormatting sqref="H3:H53">
    <cfRule type="cellIs" dxfId="200" priority="5" stopIfTrue="1" operator="lessThan">
      <formula>1</formula>
    </cfRule>
  </conditionalFormatting>
  <conditionalFormatting sqref="G3:G53">
    <cfRule type="cellIs" dxfId="199" priority="3" stopIfTrue="1" operator="greaterThan">
      <formula>2.5</formula>
    </cfRule>
    <cfRule type="cellIs" dxfId="198" priority="4" stopIfTrue="1" operator="between">
      <formula>2.01</formula>
      <formula>2.5</formula>
    </cfRule>
  </conditionalFormatting>
  <conditionalFormatting sqref="K3:K52">
    <cfRule type="cellIs" dxfId="197" priority="1" stopIfTrue="1" operator="greaterThan">
      <formula>$F3*2.5</formula>
    </cfRule>
    <cfRule type="cellIs" dxfId="196"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8E86C-2BE8-4653-8668-39BFA28B51BC}">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294</v>
      </c>
      <c r="B1" s="196" t="s">
        <v>295</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1161972037.8499999</v>
      </c>
      <c r="C3" s="13">
        <v>1007880017.2</v>
      </c>
      <c r="D3" s="13">
        <v>154092020.64999986</v>
      </c>
      <c r="E3" s="13">
        <v>22801753.539999999</v>
      </c>
      <c r="F3" s="13">
        <v>24581601</v>
      </c>
      <c r="G3" s="14">
        <v>6.27</v>
      </c>
      <c r="H3" s="14">
        <v>0.93</v>
      </c>
      <c r="I3" s="13">
        <v>1900146.1283333332</v>
      </c>
      <c r="J3" s="15">
        <v>2</v>
      </c>
      <c r="K3" s="13">
        <v>150291728.3933332</v>
      </c>
      <c r="L3" s="13">
        <v>52464409.324999928</v>
      </c>
      <c r="M3" s="13">
        <v>46319009.074999928</v>
      </c>
      <c r="N3" s="197">
        <v>43647</v>
      </c>
      <c r="O3" s="16">
        <v>45839</v>
      </c>
      <c r="P3" s="13">
        <v>319828.5</v>
      </c>
      <c r="Q3" s="243" t="e">
        <v>#VALUE!</v>
      </c>
    </row>
    <row r="4" spans="1:17" x14ac:dyDescent="0.2">
      <c r="A4" s="4" t="s">
        <v>46</v>
      </c>
      <c r="B4" s="13">
        <v>1834758280.3599999</v>
      </c>
      <c r="C4" s="13">
        <v>1577284707.5999999</v>
      </c>
      <c r="D4" s="13">
        <v>257473572.75999999</v>
      </c>
      <c r="E4" s="13">
        <v>41770579.5</v>
      </c>
      <c r="F4" s="13">
        <v>46162390</v>
      </c>
      <c r="G4" s="14">
        <v>5.58</v>
      </c>
      <c r="H4" s="14">
        <v>0.9</v>
      </c>
      <c r="I4" s="13">
        <v>3480881.625</v>
      </c>
      <c r="J4" s="15">
        <v>8</v>
      </c>
      <c r="K4" s="13">
        <v>229626519.75999999</v>
      </c>
      <c r="L4" s="13">
        <v>20643599.094999999</v>
      </c>
      <c r="M4" s="13">
        <v>17758449.719999999</v>
      </c>
      <c r="N4" s="197">
        <v>43831</v>
      </c>
      <c r="O4" s="16">
        <v>46023</v>
      </c>
      <c r="P4" s="13">
        <v>1146912.73</v>
      </c>
      <c r="Q4" s="242" t="e">
        <v>#VALUE!</v>
      </c>
    </row>
    <row r="5" spans="1:17" x14ac:dyDescent="0.2">
      <c r="A5" s="4" t="s">
        <v>62</v>
      </c>
      <c r="B5" s="13">
        <v>722479384.32000005</v>
      </c>
      <c r="C5" s="13">
        <v>645794486.41999996</v>
      </c>
      <c r="D5" s="13">
        <v>76684897.900000095</v>
      </c>
      <c r="E5" s="13">
        <v>12964380.189999999</v>
      </c>
      <c r="F5" s="13">
        <v>13783001</v>
      </c>
      <c r="G5" s="14">
        <v>5.56</v>
      </c>
      <c r="H5" s="14">
        <v>0.94</v>
      </c>
      <c r="I5" s="13">
        <v>1080365.0158333334</v>
      </c>
      <c r="J5" s="15">
        <v>2</v>
      </c>
      <c r="K5" s="13">
        <v>74524167.868333429</v>
      </c>
      <c r="L5" s="13">
        <v>24559447.950000048</v>
      </c>
      <c r="M5" s="13">
        <v>21113697.700000048</v>
      </c>
      <c r="N5" s="197">
        <v>43647</v>
      </c>
      <c r="O5" s="16">
        <v>45839</v>
      </c>
      <c r="P5" s="13">
        <v>978353.3</v>
      </c>
      <c r="Q5" s="242" t="e">
        <v>#VALUE!</v>
      </c>
    </row>
    <row r="6" spans="1:17" x14ac:dyDescent="0.2">
      <c r="A6" s="4" t="s">
        <v>35</v>
      </c>
      <c r="B6" s="13">
        <v>1503333344.97</v>
      </c>
      <c r="C6" s="13">
        <v>1318729728.1099999</v>
      </c>
      <c r="D6" s="13">
        <v>184603616.86000013</v>
      </c>
      <c r="E6" s="13">
        <v>23190050.140000001</v>
      </c>
      <c r="F6" s="13">
        <v>34090474</v>
      </c>
      <c r="G6" s="14">
        <v>5.42</v>
      </c>
      <c r="H6" s="14">
        <v>0.68</v>
      </c>
      <c r="I6" s="13">
        <v>1932504.1783333335</v>
      </c>
      <c r="J6" s="15">
        <v>2</v>
      </c>
      <c r="K6" s="13">
        <v>180738608.50333348</v>
      </c>
      <c r="L6" s="13">
        <v>58211334.430000067</v>
      </c>
      <c r="M6" s="13">
        <v>49688715.930000067</v>
      </c>
      <c r="N6" s="197">
        <v>43647</v>
      </c>
      <c r="O6" s="16">
        <v>45839</v>
      </c>
      <c r="P6" s="13">
        <v>1540399.58</v>
      </c>
      <c r="Q6" s="242" t="e">
        <v>#VALUE!</v>
      </c>
    </row>
    <row r="7" spans="1:17" x14ac:dyDescent="0.2">
      <c r="A7" s="4" t="s">
        <v>44</v>
      </c>
      <c r="B7" s="13">
        <v>504504813</v>
      </c>
      <c r="C7" s="13">
        <v>457534203.19999999</v>
      </c>
      <c r="D7" s="13">
        <v>46970609.800000012</v>
      </c>
      <c r="E7" s="13">
        <v>11909770.35</v>
      </c>
      <c r="F7" s="13">
        <v>10946097</v>
      </c>
      <c r="G7" s="14">
        <v>4.29</v>
      </c>
      <c r="H7" s="14">
        <v>1.0900000000000001</v>
      </c>
      <c r="I7" s="13">
        <v>992480.86249999993</v>
      </c>
      <c r="J7" s="15">
        <v>8</v>
      </c>
      <c r="K7" s="13">
        <v>39030762.900000013</v>
      </c>
      <c r="L7" s="13">
        <v>3134801.9750000015</v>
      </c>
      <c r="M7" s="13">
        <v>2450670.9125000015</v>
      </c>
      <c r="N7" s="197">
        <v>43831</v>
      </c>
      <c r="O7" s="16">
        <v>46023</v>
      </c>
      <c r="P7" s="13">
        <v>1341202.8</v>
      </c>
      <c r="Q7" s="242" t="e">
        <v>#VALUE!</v>
      </c>
    </row>
    <row r="8" spans="1:17" x14ac:dyDescent="0.2">
      <c r="A8" s="4" t="s">
        <v>64</v>
      </c>
      <c r="B8" s="13">
        <v>124445693.39</v>
      </c>
      <c r="C8" s="13">
        <v>109305270.31999999</v>
      </c>
      <c r="D8" s="13">
        <v>15140423.070000008</v>
      </c>
      <c r="E8" s="13">
        <v>4885039.8899999997</v>
      </c>
      <c r="F8" s="13">
        <v>3545933</v>
      </c>
      <c r="G8" s="14">
        <v>4.2699999999999996</v>
      </c>
      <c r="H8" s="14">
        <v>1.38</v>
      </c>
      <c r="I8" s="13">
        <v>407086.65749999997</v>
      </c>
      <c r="J8" s="15">
        <v>8</v>
      </c>
      <c r="K8" s="13">
        <v>11883729.810000008</v>
      </c>
      <c r="L8" s="13">
        <v>1006069.633750001</v>
      </c>
      <c r="M8" s="13">
        <v>784448.82125000097</v>
      </c>
      <c r="N8" s="197">
        <v>43831</v>
      </c>
      <c r="O8" s="16">
        <v>46023</v>
      </c>
      <c r="P8" s="13">
        <v>1115934.03</v>
      </c>
      <c r="Q8" s="242" t="e">
        <v>#VALUE!</v>
      </c>
    </row>
    <row r="9" spans="1:17" x14ac:dyDescent="0.2">
      <c r="A9" s="4" t="s">
        <v>26</v>
      </c>
      <c r="B9" s="13">
        <v>1365257298.0599999</v>
      </c>
      <c r="C9" s="13">
        <v>1242378511.99</v>
      </c>
      <c r="D9" s="13">
        <v>122878786.06999993</v>
      </c>
      <c r="E9" s="13">
        <v>53788878.469999999</v>
      </c>
      <c r="F9" s="13">
        <v>28988172</v>
      </c>
      <c r="G9" s="14">
        <v>4.24</v>
      </c>
      <c r="H9" s="14">
        <v>1.86</v>
      </c>
      <c r="I9" s="13">
        <v>4482406.5391666666</v>
      </c>
      <c r="J9" s="15">
        <v>8</v>
      </c>
      <c r="K9" s="13">
        <v>87019533.756666601</v>
      </c>
      <c r="L9" s="13">
        <v>8112805.2587499917</v>
      </c>
      <c r="M9" s="13">
        <v>6301044.5087499917</v>
      </c>
      <c r="N9" s="197">
        <v>43831</v>
      </c>
      <c r="O9" s="16">
        <v>46023</v>
      </c>
      <c r="P9" s="13">
        <v>3774120.03</v>
      </c>
      <c r="Q9" s="242" t="e">
        <v>#VALUE!</v>
      </c>
    </row>
    <row r="10" spans="1:17" x14ac:dyDescent="0.2">
      <c r="A10" s="4" t="s">
        <v>52</v>
      </c>
      <c r="B10" s="13">
        <v>1966895481</v>
      </c>
      <c r="C10" s="13">
        <v>1874995469.0799999</v>
      </c>
      <c r="D10" s="13">
        <v>91900011.920000076</v>
      </c>
      <c r="E10" s="13">
        <v>21371426.949999999</v>
      </c>
      <c r="F10" s="13">
        <v>21788490</v>
      </c>
      <c r="G10" s="14">
        <v>4.22</v>
      </c>
      <c r="H10" s="14">
        <v>0.98</v>
      </c>
      <c r="I10" s="13">
        <v>1780952.2458333333</v>
      </c>
      <c r="J10" s="15">
        <v>2</v>
      </c>
      <c r="K10" s="13">
        <v>88338107.428333417</v>
      </c>
      <c r="L10" s="13">
        <v>24161515.960000038</v>
      </c>
      <c r="M10" s="13">
        <v>18714393.460000038</v>
      </c>
      <c r="N10" s="197">
        <v>43647</v>
      </c>
      <c r="O10" s="16">
        <v>45839</v>
      </c>
      <c r="P10" s="13">
        <v>1664817.01</v>
      </c>
      <c r="Q10" s="242" t="e">
        <v>#VALUE!</v>
      </c>
    </row>
    <row r="11" spans="1:17" x14ac:dyDescent="0.2">
      <c r="A11" s="4" t="s">
        <v>36</v>
      </c>
      <c r="B11" s="13">
        <v>872347192</v>
      </c>
      <c r="C11" s="13">
        <v>792030197.58000004</v>
      </c>
      <c r="D11" s="13">
        <v>80316994.419999957</v>
      </c>
      <c r="E11" s="13">
        <v>17269716.949999999</v>
      </c>
      <c r="F11" s="13">
        <v>19090913</v>
      </c>
      <c r="G11" s="14">
        <v>4.21</v>
      </c>
      <c r="H11" s="14">
        <v>0.9</v>
      </c>
      <c r="I11" s="13">
        <v>1439143.0791666666</v>
      </c>
      <c r="J11" s="15">
        <v>5</v>
      </c>
      <c r="K11" s="13">
        <v>73121279.024166629</v>
      </c>
      <c r="L11" s="13">
        <v>8427033.683999991</v>
      </c>
      <c r="M11" s="13">
        <v>6517942.3839999912</v>
      </c>
      <c r="N11" s="197">
        <v>43739</v>
      </c>
      <c r="O11" s="16">
        <v>45931</v>
      </c>
      <c r="P11" s="13">
        <v>1475842.67</v>
      </c>
      <c r="Q11" s="242" t="e">
        <v>#VALUE!</v>
      </c>
    </row>
    <row r="12" spans="1:17" x14ac:dyDescent="0.2">
      <c r="A12" s="4" t="s">
        <v>30</v>
      </c>
      <c r="B12" s="13">
        <v>1194714205.73</v>
      </c>
      <c r="C12" s="13">
        <v>1083404661.95</v>
      </c>
      <c r="D12" s="13">
        <v>111309543.77999997</v>
      </c>
      <c r="E12" s="13">
        <v>21702329.530000001</v>
      </c>
      <c r="F12" s="13">
        <v>26571929</v>
      </c>
      <c r="G12" s="14">
        <v>4.1900000000000004</v>
      </c>
      <c r="H12" s="14">
        <v>0.82</v>
      </c>
      <c r="I12" s="13">
        <v>1808527.4608333334</v>
      </c>
      <c r="J12" s="15">
        <v>2</v>
      </c>
      <c r="K12" s="13">
        <v>107692488.8583333</v>
      </c>
      <c r="L12" s="13">
        <v>29082842.889999986</v>
      </c>
      <c r="M12" s="13">
        <v>22439860.639999986</v>
      </c>
      <c r="N12" s="197">
        <v>43647</v>
      </c>
      <c r="O12" s="16">
        <v>45839</v>
      </c>
      <c r="P12" s="13">
        <v>2496575</v>
      </c>
      <c r="Q12" s="242" t="e">
        <v>#VALUE!</v>
      </c>
    </row>
    <row r="13" spans="1:17" x14ac:dyDescent="0.2">
      <c r="A13" s="4" t="s">
        <v>60</v>
      </c>
      <c r="B13" s="13">
        <v>813673223</v>
      </c>
      <c r="C13" s="13">
        <v>732380444.04999995</v>
      </c>
      <c r="D13" s="13">
        <v>81292778.950000048</v>
      </c>
      <c r="E13" s="13">
        <v>12116809.439999999</v>
      </c>
      <c r="F13" s="13">
        <v>19453948</v>
      </c>
      <c r="G13" s="14">
        <v>4.18</v>
      </c>
      <c r="H13" s="14">
        <v>0.62</v>
      </c>
      <c r="I13" s="13">
        <v>1009734.12</v>
      </c>
      <c r="J13" s="15">
        <v>2</v>
      </c>
      <c r="K13" s="13">
        <v>79273310.710000053</v>
      </c>
      <c r="L13" s="13">
        <v>21192441.475000024</v>
      </c>
      <c r="M13" s="13">
        <v>16328954.475000024</v>
      </c>
      <c r="N13" s="197">
        <v>43647</v>
      </c>
      <c r="O13" s="16">
        <v>45839</v>
      </c>
      <c r="P13" s="13">
        <v>917839.77</v>
      </c>
      <c r="Q13" s="242" t="e">
        <v>#VALUE!</v>
      </c>
    </row>
    <row r="14" spans="1:17" x14ac:dyDescent="0.2">
      <c r="A14" s="4" t="s">
        <v>40</v>
      </c>
      <c r="B14" s="13">
        <v>511163315.91000003</v>
      </c>
      <c r="C14" s="13">
        <v>467336371.54000002</v>
      </c>
      <c r="D14" s="13">
        <v>43826944.370000005</v>
      </c>
      <c r="E14" s="13">
        <v>6406767.3200000003</v>
      </c>
      <c r="F14" s="13">
        <v>10598087</v>
      </c>
      <c r="G14" s="14">
        <v>4.1399999999999997</v>
      </c>
      <c r="H14" s="14">
        <v>0.6</v>
      </c>
      <c r="I14" s="13">
        <v>533897.27666666673</v>
      </c>
      <c r="J14" s="15">
        <v>2</v>
      </c>
      <c r="K14" s="13">
        <v>42759149.81666667</v>
      </c>
      <c r="L14" s="13">
        <v>11315385.185000002</v>
      </c>
      <c r="M14" s="13">
        <v>8665863.4350000024</v>
      </c>
      <c r="N14" s="197">
        <v>43647</v>
      </c>
      <c r="O14" s="16">
        <v>45839</v>
      </c>
      <c r="P14" s="13">
        <v>1117723.19</v>
      </c>
      <c r="Q14" s="242" t="e">
        <v>#VALUE!</v>
      </c>
    </row>
    <row r="15" spans="1:17" x14ac:dyDescent="0.2">
      <c r="A15" s="4" t="s">
        <v>39</v>
      </c>
      <c r="B15" s="13">
        <v>271317340</v>
      </c>
      <c r="C15" s="13">
        <v>247284496.84</v>
      </c>
      <c r="D15" s="13">
        <v>24032843.159999996</v>
      </c>
      <c r="E15" s="13">
        <v>7823477.2599999998</v>
      </c>
      <c r="F15" s="13">
        <v>6196840</v>
      </c>
      <c r="G15" s="14">
        <v>3.88</v>
      </c>
      <c r="H15" s="14">
        <v>1.26</v>
      </c>
      <c r="I15" s="13">
        <v>651956.43833333335</v>
      </c>
      <c r="J15" s="15">
        <v>0</v>
      </c>
      <c r="K15" s="13">
        <v>24032843.159999996</v>
      </c>
      <c r="L15" s="13" t="s">
        <v>193</v>
      </c>
      <c r="M15" s="13" t="s">
        <v>193</v>
      </c>
      <c r="N15" s="197">
        <v>43922</v>
      </c>
      <c r="O15" s="16">
        <v>45748</v>
      </c>
      <c r="P15" s="13">
        <v>928702.44</v>
      </c>
      <c r="Q15" s="242" t="e">
        <v>#VALUE!</v>
      </c>
    </row>
    <row r="16" spans="1:17" x14ac:dyDescent="0.2">
      <c r="A16" s="4" t="s">
        <v>16</v>
      </c>
      <c r="B16" s="13">
        <v>107063879</v>
      </c>
      <c r="C16" s="13">
        <v>97114299.439999998</v>
      </c>
      <c r="D16" s="13">
        <v>9949579.5600000024</v>
      </c>
      <c r="E16" s="13">
        <v>2138014.84</v>
      </c>
      <c r="F16" s="13">
        <v>2669761</v>
      </c>
      <c r="G16" s="14">
        <v>3.73</v>
      </c>
      <c r="H16" s="14">
        <v>0.8</v>
      </c>
      <c r="I16" s="13">
        <v>178167.90333333332</v>
      </c>
      <c r="J16" s="15">
        <v>2</v>
      </c>
      <c r="K16" s="13">
        <v>9593243.7533333357</v>
      </c>
      <c r="L16" s="13">
        <v>2305028.7800000012</v>
      </c>
      <c r="M16" s="13">
        <v>1637588.5300000012</v>
      </c>
      <c r="N16" s="197">
        <v>43647</v>
      </c>
      <c r="O16" s="16">
        <v>45839</v>
      </c>
      <c r="P16" s="13">
        <v>64538.93</v>
      </c>
      <c r="Q16" s="242" t="e">
        <v>#VALUE!</v>
      </c>
    </row>
    <row r="17" spans="1:17" x14ac:dyDescent="0.2">
      <c r="A17" s="4" t="s">
        <v>43</v>
      </c>
      <c r="B17" s="13">
        <v>307409614.24000001</v>
      </c>
      <c r="C17" s="13">
        <v>281840046.49000001</v>
      </c>
      <c r="D17" s="13">
        <v>25569567.75</v>
      </c>
      <c r="E17" s="13">
        <v>5387749.2699999996</v>
      </c>
      <c r="F17" s="13">
        <v>6878551</v>
      </c>
      <c r="G17" s="14">
        <v>3.72</v>
      </c>
      <c r="H17" s="14">
        <v>0.78</v>
      </c>
      <c r="I17" s="13">
        <v>448979.10583333328</v>
      </c>
      <c r="J17" s="15">
        <v>2</v>
      </c>
      <c r="K17" s="13">
        <v>24671609.538333334</v>
      </c>
      <c r="L17" s="13">
        <v>5906232.875</v>
      </c>
      <c r="M17" s="13">
        <v>4186595.125</v>
      </c>
      <c r="N17" s="197">
        <v>43647</v>
      </c>
      <c r="O17" s="16">
        <v>45839</v>
      </c>
      <c r="P17" s="13">
        <v>638471.61</v>
      </c>
      <c r="Q17" s="242" t="e">
        <v>#VALUE!</v>
      </c>
    </row>
    <row r="18" spans="1:17" x14ac:dyDescent="0.2">
      <c r="A18" s="4" t="s">
        <v>54</v>
      </c>
      <c r="B18" s="13">
        <v>1042589157.45</v>
      </c>
      <c r="C18" s="13">
        <v>967832422.20000005</v>
      </c>
      <c r="D18" s="13">
        <v>74756735.25</v>
      </c>
      <c r="E18" s="13">
        <v>20349095.16</v>
      </c>
      <c r="F18" s="13">
        <v>20158365</v>
      </c>
      <c r="G18" s="14">
        <v>3.71</v>
      </c>
      <c r="H18" s="14">
        <v>1.01</v>
      </c>
      <c r="I18" s="13">
        <v>1695757.93</v>
      </c>
      <c r="J18" s="15">
        <v>0</v>
      </c>
      <c r="K18" s="13">
        <v>74756735.25</v>
      </c>
      <c r="L18" s="13" t="s">
        <v>193</v>
      </c>
      <c r="M18" s="13" t="s">
        <v>193</v>
      </c>
      <c r="N18" s="197">
        <v>43922</v>
      </c>
      <c r="O18" s="16">
        <v>45748</v>
      </c>
      <c r="P18" s="13">
        <v>1687825</v>
      </c>
      <c r="Q18" s="242" t="e">
        <v>#VALUE!</v>
      </c>
    </row>
    <row r="19" spans="1:17" x14ac:dyDescent="0.2">
      <c r="A19" s="4" t="s">
        <v>19</v>
      </c>
      <c r="B19" s="13">
        <v>1468177330.9100001</v>
      </c>
      <c r="C19" s="13">
        <v>1363833817.79</v>
      </c>
      <c r="D19" s="13">
        <v>104343513.12000012</v>
      </c>
      <c r="E19" s="13">
        <v>37948943.579999998</v>
      </c>
      <c r="F19" s="13">
        <v>29748591</v>
      </c>
      <c r="G19" s="14">
        <v>3.51</v>
      </c>
      <c r="H19" s="14">
        <v>1.28</v>
      </c>
      <c r="I19" s="13">
        <v>3162411.9649999999</v>
      </c>
      <c r="J19" s="15">
        <v>2</v>
      </c>
      <c r="K19" s="13">
        <v>98018689.190000117</v>
      </c>
      <c r="L19" s="13">
        <v>22423165.560000062</v>
      </c>
      <c r="M19" s="13">
        <v>14986017.810000062</v>
      </c>
      <c r="N19" s="197">
        <v>43647</v>
      </c>
      <c r="O19" s="16">
        <v>45839</v>
      </c>
      <c r="P19" s="13">
        <v>8777903.9000000004</v>
      </c>
      <c r="Q19" s="242" t="e">
        <v>#VALUE!</v>
      </c>
    </row>
    <row r="20" spans="1:17" x14ac:dyDescent="0.2">
      <c r="A20" s="4" t="s">
        <v>47</v>
      </c>
      <c r="B20" s="13">
        <v>190999038.36000001</v>
      </c>
      <c r="C20" s="13">
        <v>178841168.40000001</v>
      </c>
      <c r="D20" s="13">
        <v>12157869.960000008</v>
      </c>
      <c r="E20" s="13">
        <v>5633499.0499999998</v>
      </c>
      <c r="F20" s="13">
        <v>3551615</v>
      </c>
      <c r="G20" s="14">
        <v>3.42</v>
      </c>
      <c r="H20" s="14">
        <v>1.59</v>
      </c>
      <c r="I20" s="13">
        <v>469458.25416666665</v>
      </c>
      <c r="J20" s="15">
        <v>2</v>
      </c>
      <c r="K20" s="13">
        <v>11218953.451666676</v>
      </c>
      <c r="L20" s="13">
        <v>2527319.9800000042</v>
      </c>
      <c r="M20" s="13">
        <v>1639416.2300000042</v>
      </c>
      <c r="N20" s="197">
        <v>43647</v>
      </c>
      <c r="O20" s="16">
        <v>45839</v>
      </c>
      <c r="P20" s="13">
        <v>3130902.65</v>
      </c>
      <c r="Q20" s="242" t="e">
        <v>#VALUE!</v>
      </c>
    </row>
    <row r="21" spans="1:17" x14ac:dyDescent="0.2">
      <c r="A21" s="4" t="s">
        <v>38</v>
      </c>
      <c r="B21" s="13">
        <v>1033187132</v>
      </c>
      <c r="C21" s="13">
        <v>955212948.15999997</v>
      </c>
      <c r="D21" s="13">
        <v>77974183.840000033</v>
      </c>
      <c r="E21" s="13">
        <v>23183926.09</v>
      </c>
      <c r="F21" s="13">
        <v>22862412</v>
      </c>
      <c r="G21" s="14">
        <v>3.41</v>
      </c>
      <c r="H21" s="14">
        <v>1.01</v>
      </c>
      <c r="I21" s="13">
        <v>1931993.8408333333</v>
      </c>
      <c r="J21" s="15">
        <v>0</v>
      </c>
      <c r="K21" s="13">
        <v>77974183.840000033</v>
      </c>
      <c r="L21" s="13" t="s">
        <v>193</v>
      </c>
      <c r="M21" s="13" t="s">
        <v>193</v>
      </c>
      <c r="N21" s="197">
        <v>43922</v>
      </c>
      <c r="O21" s="16">
        <v>45748</v>
      </c>
      <c r="P21" s="13">
        <v>1790108.78</v>
      </c>
      <c r="Q21" s="242" t="e">
        <v>#VALUE!</v>
      </c>
    </row>
    <row r="22" spans="1:17" x14ac:dyDescent="0.2">
      <c r="A22" s="4" t="s">
        <v>37</v>
      </c>
      <c r="B22" s="13">
        <v>1263148065.8299999</v>
      </c>
      <c r="C22" s="13">
        <v>1183994170.1600001</v>
      </c>
      <c r="D22" s="13">
        <v>79153895.669999838</v>
      </c>
      <c r="E22" s="13">
        <v>17050312.18</v>
      </c>
      <c r="F22" s="13">
        <v>23759923</v>
      </c>
      <c r="G22" s="14">
        <v>3.33</v>
      </c>
      <c r="H22" s="14">
        <v>0.72</v>
      </c>
      <c r="I22" s="13">
        <v>1420859.3483333334</v>
      </c>
      <c r="J22" s="15">
        <v>2</v>
      </c>
      <c r="K22" s="13">
        <v>76312176.973333165</v>
      </c>
      <c r="L22" s="13">
        <v>15817024.834999919</v>
      </c>
      <c r="M22" s="13">
        <v>9877044.0849999189</v>
      </c>
      <c r="N22" s="197">
        <v>43647</v>
      </c>
      <c r="O22" s="16">
        <v>45839</v>
      </c>
      <c r="P22" s="13">
        <v>2059971.5</v>
      </c>
      <c r="Q22" s="242" t="e">
        <v>#VALUE!</v>
      </c>
    </row>
    <row r="23" spans="1:17" x14ac:dyDescent="0.2">
      <c r="A23" s="4" t="s">
        <v>33</v>
      </c>
      <c r="B23" s="13">
        <v>321862947.48000002</v>
      </c>
      <c r="C23" s="13">
        <v>297380620.98000002</v>
      </c>
      <c r="D23" s="13">
        <v>24482326.5</v>
      </c>
      <c r="E23" s="13">
        <v>8131364.4000000004</v>
      </c>
      <c r="F23" s="13">
        <v>7416560</v>
      </c>
      <c r="G23" s="14">
        <v>3.3</v>
      </c>
      <c r="H23" s="14">
        <v>1.1000000000000001</v>
      </c>
      <c r="I23" s="13">
        <v>677613.70000000007</v>
      </c>
      <c r="J23" s="15">
        <v>2</v>
      </c>
      <c r="K23" s="13">
        <v>23127099.100000001</v>
      </c>
      <c r="L23" s="13">
        <v>4824603.25</v>
      </c>
      <c r="M23" s="13">
        <v>2970463.25</v>
      </c>
      <c r="N23" s="197">
        <v>43647</v>
      </c>
      <c r="O23" s="16">
        <v>45839</v>
      </c>
      <c r="P23" s="13">
        <v>437310.03</v>
      </c>
      <c r="Q23" s="242" t="e">
        <v>#VALUE!</v>
      </c>
    </row>
    <row r="24" spans="1:17" x14ac:dyDescent="0.2">
      <c r="A24" s="4" t="s">
        <v>28</v>
      </c>
      <c r="B24" s="13">
        <v>1083940953</v>
      </c>
      <c r="C24" s="13">
        <v>1004222809.89</v>
      </c>
      <c r="D24" s="13">
        <v>79718143.110000014</v>
      </c>
      <c r="E24" s="13">
        <v>20567308.899999999</v>
      </c>
      <c r="F24" s="13">
        <v>24208645</v>
      </c>
      <c r="G24" s="14">
        <v>3.29</v>
      </c>
      <c r="H24" s="14">
        <v>0.85</v>
      </c>
      <c r="I24" s="13">
        <v>1713942.4083333332</v>
      </c>
      <c r="J24" s="15">
        <v>8</v>
      </c>
      <c r="K24" s="13">
        <v>66006603.843333349</v>
      </c>
      <c r="L24" s="13">
        <v>3912606.6387500018</v>
      </c>
      <c r="M24" s="13">
        <v>2399566.3262500018</v>
      </c>
      <c r="N24" s="197">
        <v>43831</v>
      </c>
      <c r="O24" s="16">
        <v>46023</v>
      </c>
      <c r="P24" s="13">
        <v>1402168</v>
      </c>
      <c r="Q24" s="242" t="e">
        <v>#VALUE!</v>
      </c>
    </row>
    <row r="25" spans="1:17" x14ac:dyDescent="0.2">
      <c r="A25" s="4" t="s">
        <v>29</v>
      </c>
      <c r="B25" s="13">
        <v>689945660</v>
      </c>
      <c r="C25" s="13">
        <v>641161472.54999995</v>
      </c>
      <c r="D25" s="13">
        <v>48784187.450000048</v>
      </c>
      <c r="E25" s="13">
        <v>8609266.9299999997</v>
      </c>
      <c r="F25" s="13">
        <v>14901309</v>
      </c>
      <c r="G25" s="14">
        <v>3.27</v>
      </c>
      <c r="H25" s="14">
        <v>0.57999999999999996</v>
      </c>
      <c r="I25" s="13">
        <v>717438.91083333327</v>
      </c>
      <c r="J25" s="15">
        <v>8</v>
      </c>
      <c r="K25" s="13">
        <v>43044676.163333379</v>
      </c>
      <c r="L25" s="13">
        <v>2372696.181250006</v>
      </c>
      <c r="M25" s="13">
        <v>1441364.368750006</v>
      </c>
      <c r="N25" s="197">
        <v>43466</v>
      </c>
      <c r="O25" s="16">
        <v>46023</v>
      </c>
      <c r="P25" s="13">
        <v>576314.79</v>
      </c>
      <c r="Q25" s="242" t="e">
        <v>#VALUE!</v>
      </c>
    </row>
    <row r="26" spans="1:17" x14ac:dyDescent="0.2">
      <c r="A26" s="4" t="s">
        <v>45</v>
      </c>
      <c r="B26" s="13">
        <v>1276422533.53</v>
      </c>
      <c r="C26" s="13">
        <v>1121325922.73</v>
      </c>
      <c r="D26" s="13">
        <v>155096610.79999995</v>
      </c>
      <c r="E26" s="13">
        <v>37402338.350000001</v>
      </c>
      <c r="F26" s="13">
        <v>47644860</v>
      </c>
      <c r="G26" s="14">
        <v>3.26</v>
      </c>
      <c r="H26" s="14">
        <v>0.79</v>
      </c>
      <c r="I26" s="13">
        <v>3116861.5291666668</v>
      </c>
      <c r="J26" s="15">
        <v>8</v>
      </c>
      <c r="K26" s="13">
        <v>130161718.56666662</v>
      </c>
      <c r="L26" s="13">
        <v>7475861.349999994</v>
      </c>
      <c r="M26" s="13">
        <v>4498057.599999994</v>
      </c>
      <c r="N26" s="197">
        <v>43831</v>
      </c>
      <c r="O26" s="16">
        <v>46023</v>
      </c>
      <c r="P26" s="13">
        <v>3694112.96</v>
      </c>
      <c r="Q26" s="242" t="e">
        <v>#VALUE!</v>
      </c>
    </row>
    <row r="27" spans="1:17" x14ac:dyDescent="0.2">
      <c r="A27" s="4" t="s">
        <v>21</v>
      </c>
      <c r="B27" s="13">
        <v>542289730.02999997</v>
      </c>
      <c r="C27" s="13">
        <v>497948888.54000002</v>
      </c>
      <c r="D27" s="13">
        <v>44340841.48999995</v>
      </c>
      <c r="E27" s="13">
        <v>7768023.8099999996</v>
      </c>
      <c r="F27" s="13">
        <v>13960891</v>
      </c>
      <c r="G27" s="14">
        <v>3.18</v>
      </c>
      <c r="H27" s="14">
        <v>0.56000000000000005</v>
      </c>
      <c r="I27" s="13">
        <v>647335.3175</v>
      </c>
      <c r="J27" s="15">
        <v>2</v>
      </c>
      <c r="K27" s="13">
        <v>43046170.854999952</v>
      </c>
      <c r="L27" s="13">
        <v>8209529.744999975</v>
      </c>
      <c r="M27" s="13">
        <v>4719306.994999975</v>
      </c>
      <c r="N27" s="197">
        <v>43647</v>
      </c>
      <c r="O27" s="16">
        <v>45839</v>
      </c>
      <c r="P27" s="13">
        <v>0</v>
      </c>
      <c r="Q27" s="242" t="e">
        <v>#VALUE!</v>
      </c>
    </row>
    <row r="28" spans="1:17" x14ac:dyDescent="0.2">
      <c r="A28" s="4" t="s">
        <v>24</v>
      </c>
      <c r="B28" s="13">
        <v>1683242657.0699999</v>
      </c>
      <c r="C28" s="13">
        <v>1553032366.4000001</v>
      </c>
      <c r="D28" s="13">
        <v>130210290.66999984</v>
      </c>
      <c r="E28" s="13">
        <v>33815697.170000002</v>
      </c>
      <c r="F28" s="13">
        <v>40945091</v>
      </c>
      <c r="G28" s="14">
        <v>3.18</v>
      </c>
      <c r="H28" s="14">
        <v>0.83</v>
      </c>
      <c r="I28" s="13">
        <v>2817974.7641666667</v>
      </c>
      <c r="J28" s="15">
        <v>2</v>
      </c>
      <c r="K28" s="13">
        <v>124574341.1416665</v>
      </c>
      <c r="L28" s="13">
        <v>24160054.334999919</v>
      </c>
      <c r="M28" s="13">
        <v>13923781.584999919</v>
      </c>
      <c r="N28" s="197">
        <v>43647</v>
      </c>
      <c r="O28" s="16">
        <v>45839</v>
      </c>
      <c r="P28" s="13">
        <v>1523184.99</v>
      </c>
      <c r="Q28" s="242" t="e">
        <v>#VALUE!</v>
      </c>
    </row>
    <row r="29" spans="1:17" x14ac:dyDescent="0.2">
      <c r="A29" s="4" t="s">
        <v>51</v>
      </c>
      <c r="B29" s="13">
        <v>2041893568.29</v>
      </c>
      <c r="C29" s="13">
        <v>1912628326.4000001</v>
      </c>
      <c r="D29" s="13">
        <v>129265241.88999987</v>
      </c>
      <c r="E29" s="13">
        <v>40731791.600000001</v>
      </c>
      <c r="F29" s="13">
        <v>40828727</v>
      </c>
      <c r="G29" s="14">
        <v>3.17</v>
      </c>
      <c r="H29" s="14">
        <v>1</v>
      </c>
      <c r="I29" s="13">
        <v>3394315.9666666668</v>
      </c>
      <c r="J29" s="15">
        <v>8</v>
      </c>
      <c r="K29" s="13">
        <v>102110714.15666653</v>
      </c>
      <c r="L29" s="13">
        <v>5950973.4862499833</v>
      </c>
      <c r="M29" s="13">
        <v>3399178.0487499833</v>
      </c>
      <c r="N29" s="197">
        <v>43831</v>
      </c>
      <c r="O29" s="16">
        <v>46023</v>
      </c>
      <c r="P29" s="13">
        <v>5369429.2199999997</v>
      </c>
      <c r="Q29" s="242" t="e">
        <v>#VALUE!</v>
      </c>
    </row>
    <row r="30" spans="1:17" x14ac:dyDescent="0.2">
      <c r="A30" s="4" t="s">
        <v>55</v>
      </c>
      <c r="B30" s="13">
        <v>259883413</v>
      </c>
      <c r="C30" s="13">
        <v>242663745.78999999</v>
      </c>
      <c r="D30" s="13">
        <v>17219667.210000008</v>
      </c>
      <c r="E30" s="13">
        <v>7553895.8499999996</v>
      </c>
      <c r="F30" s="13">
        <v>5643956</v>
      </c>
      <c r="G30" s="14">
        <v>3.05</v>
      </c>
      <c r="H30" s="14">
        <v>1.34</v>
      </c>
      <c r="I30" s="13">
        <v>629491.3208333333</v>
      </c>
      <c r="J30" s="15">
        <v>8</v>
      </c>
      <c r="K30" s="13">
        <v>12183736.643333342</v>
      </c>
      <c r="L30" s="13">
        <v>741469.40125000104</v>
      </c>
      <c r="M30" s="13" t="s">
        <v>192</v>
      </c>
      <c r="N30" s="197">
        <v>43831</v>
      </c>
      <c r="O30" s="16">
        <v>46023</v>
      </c>
      <c r="P30" s="13">
        <v>550612.54</v>
      </c>
      <c r="Q30" s="242" t="e">
        <v>#VALUE!</v>
      </c>
    </row>
    <row r="31" spans="1:17" x14ac:dyDescent="0.2">
      <c r="A31" s="4" t="s">
        <v>56</v>
      </c>
      <c r="B31" s="13">
        <v>1182377479</v>
      </c>
      <c r="C31" s="13">
        <v>1099152642.3800001</v>
      </c>
      <c r="D31" s="13">
        <v>83224836.619999886</v>
      </c>
      <c r="E31" s="13">
        <v>20965791.510000002</v>
      </c>
      <c r="F31" s="13">
        <v>27472066</v>
      </c>
      <c r="G31" s="14">
        <v>3.03</v>
      </c>
      <c r="H31" s="14">
        <v>0.76</v>
      </c>
      <c r="I31" s="13">
        <v>1747149.2925000002</v>
      </c>
      <c r="J31" s="15">
        <v>2</v>
      </c>
      <c r="K31" s="13">
        <v>79730538.034999892</v>
      </c>
      <c r="L31" s="13">
        <v>14140352.309999943</v>
      </c>
      <c r="M31" s="13">
        <v>7272335.8099999428</v>
      </c>
      <c r="N31" s="197">
        <v>43647</v>
      </c>
      <c r="O31" s="16">
        <v>45839</v>
      </c>
      <c r="P31" s="13">
        <v>2452887.4900000002</v>
      </c>
      <c r="Q31" s="242" t="e">
        <v>#VALUE!</v>
      </c>
    </row>
    <row r="32" spans="1:17" x14ac:dyDescent="0.2">
      <c r="A32" s="4" t="s">
        <v>61</v>
      </c>
      <c r="B32" s="13">
        <v>535148479</v>
      </c>
      <c r="C32" s="13">
        <v>497949440.24000001</v>
      </c>
      <c r="D32" s="13">
        <v>37199038.75999999</v>
      </c>
      <c r="E32" s="13">
        <v>9682079.5199999996</v>
      </c>
      <c r="F32" s="13">
        <v>13099382</v>
      </c>
      <c r="G32" s="14">
        <v>2.84</v>
      </c>
      <c r="H32" s="14">
        <v>0.74</v>
      </c>
      <c r="I32" s="13">
        <v>806839.96</v>
      </c>
      <c r="J32" s="15">
        <v>2</v>
      </c>
      <c r="K32" s="13">
        <v>35585358.839999989</v>
      </c>
      <c r="L32" s="13">
        <v>5500137.3799999952</v>
      </c>
      <c r="M32" s="13">
        <v>2225291.8799999952</v>
      </c>
      <c r="N32" s="197">
        <v>43647</v>
      </c>
      <c r="O32" s="16">
        <v>45839</v>
      </c>
      <c r="P32" s="13">
        <v>698702.23</v>
      </c>
      <c r="Q32" s="242" t="e">
        <v>#VALUE!</v>
      </c>
    </row>
    <row r="33" spans="1:17" x14ac:dyDescent="0.2">
      <c r="A33" s="4" t="s">
        <v>53</v>
      </c>
      <c r="B33" s="13">
        <v>203184641.25</v>
      </c>
      <c r="C33" s="13">
        <v>187466693.44</v>
      </c>
      <c r="D33" s="13">
        <v>15717947.810000002</v>
      </c>
      <c r="E33" s="13">
        <v>7649985.2599999998</v>
      </c>
      <c r="F33" s="13">
        <v>5655134</v>
      </c>
      <c r="G33" s="14">
        <v>2.78</v>
      </c>
      <c r="H33" s="14">
        <v>1.35</v>
      </c>
      <c r="I33" s="13">
        <v>637498.77166666661</v>
      </c>
      <c r="J33" s="15">
        <v>2</v>
      </c>
      <c r="K33" s="13">
        <v>14442950.266666669</v>
      </c>
      <c r="L33" s="13">
        <v>2203839.9050000012</v>
      </c>
      <c r="M33" s="13">
        <v>790056.40500000119</v>
      </c>
      <c r="N33" s="197">
        <v>43647</v>
      </c>
      <c r="O33" s="16">
        <v>45839</v>
      </c>
      <c r="P33" s="13">
        <v>865942.88</v>
      </c>
      <c r="Q33" s="242" t="e">
        <v>#VALUE!</v>
      </c>
    </row>
    <row r="34" spans="1:17" x14ac:dyDescent="0.2">
      <c r="A34" s="4" t="s">
        <v>42</v>
      </c>
      <c r="B34" s="13">
        <v>355494147</v>
      </c>
      <c r="C34" s="13">
        <v>329374801.61000001</v>
      </c>
      <c r="D34" s="13">
        <v>26119345.389999986</v>
      </c>
      <c r="E34" s="13">
        <v>7673493.8899999997</v>
      </c>
      <c r="F34" s="13">
        <v>9435207</v>
      </c>
      <c r="G34" s="14">
        <v>2.77</v>
      </c>
      <c r="H34" s="14">
        <v>0.81</v>
      </c>
      <c r="I34" s="13">
        <v>639457.8241666666</v>
      </c>
      <c r="J34" s="15">
        <v>8</v>
      </c>
      <c r="K34" s="13">
        <v>21003682.796666652</v>
      </c>
      <c r="L34" s="13">
        <v>906116.42374999821</v>
      </c>
      <c r="M34" s="13" t="s">
        <v>192</v>
      </c>
      <c r="N34" s="197">
        <v>43831</v>
      </c>
      <c r="O34" s="16">
        <v>46023</v>
      </c>
      <c r="P34" s="13">
        <v>1233955.3400000001</v>
      </c>
      <c r="Q34" s="242" t="e">
        <v>#VALUE!</v>
      </c>
    </row>
    <row r="35" spans="1:17" x14ac:dyDescent="0.2">
      <c r="A35" s="4" t="s">
        <v>20</v>
      </c>
      <c r="B35" s="13">
        <v>392596167.93000001</v>
      </c>
      <c r="C35" s="13">
        <v>367137619.52999997</v>
      </c>
      <c r="D35" s="13">
        <v>25458548.400000036</v>
      </c>
      <c r="E35" s="13">
        <v>4952596.41</v>
      </c>
      <c r="F35" s="13">
        <v>9305817</v>
      </c>
      <c r="G35" s="14">
        <v>2.74</v>
      </c>
      <c r="H35" s="14">
        <v>0.53</v>
      </c>
      <c r="I35" s="13">
        <v>412716.36749999999</v>
      </c>
      <c r="J35" s="15">
        <v>0</v>
      </c>
      <c r="K35" s="13">
        <v>25458548.400000036</v>
      </c>
      <c r="L35" s="13" t="s">
        <v>193</v>
      </c>
      <c r="M35" s="13" t="s">
        <v>193</v>
      </c>
      <c r="N35" s="197">
        <v>43556</v>
      </c>
      <c r="O35" s="16">
        <v>45748</v>
      </c>
      <c r="P35" s="13">
        <v>515193.26</v>
      </c>
      <c r="Q35" s="242" t="e">
        <v>#VALUE!</v>
      </c>
    </row>
    <row r="36" spans="1:17" x14ac:dyDescent="0.2">
      <c r="A36" s="4" t="s">
        <v>27</v>
      </c>
      <c r="B36" s="13">
        <v>1340428223.5599999</v>
      </c>
      <c r="C36" s="13">
        <v>1256312082.76</v>
      </c>
      <c r="D36" s="13">
        <v>84116140.799999952</v>
      </c>
      <c r="E36" s="13">
        <v>21937402.09</v>
      </c>
      <c r="F36" s="13">
        <v>30689455</v>
      </c>
      <c r="G36" s="14">
        <v>2.74</v>
      </c>
      <c r="H36" s="14">
        <v>0.71</v>
      </c>
      <c r="I36" s="13">
        <v>1828116.8408333333</v>
      </c>
      <c r="J36" s="15">
        <v>2</v>
      </c>
      <c r="K36" s="13">
        <v>80459907.11833328</v>
      </c>
      <c r="L36" s="13">
        <v>11368615.399999976</v>
      </c>
      <c r="M36" s="13">
        <v>3696251.6499999762</v>
      </c>
      <c r="N36" s="197">
        <v>43647</v>
      </c>
      <c r="O36" s="16">
        <v>45839</v>
      </c>
      <c r="P36" s="13">
        <v>1897183.03</v>
      </c>
      <c r="Q36" s="242" t="e">
        <v>#VALUE!</v>
      </c>
    </row>
    <row r="37" spans="1:17" x14ac:dyDescent="0.2">
      <c r="A37" s="4" t="s">
        <v>57</v>
      </c>
      <c r="B37" s="13">
        <v>2950491414.54</v>
      </c>
      <c r="C37" s="13">
        <v>2756652945.9200001</v>
      </c>
      <c r="D37" s="13">
        <v>193838468.61999989</v>
      </c>
      <c r="E37" s="13">
        <v>62624373.590000004</v>
      </c>
      <c r="F37" s="13">
        <v>71178309</v>
      </c>
      <c r="G37" s="14">
        <v>2.72</v>
      </c>
      <c r="H37" s="14">
        <v>0.88</v>
      </c>
      <c r="I37" s="13">
        <v>5218697.7991666673</v>
      </c>
      <c r="J37" s="15">
        <v>4</v>
      </c>
      <c r="K37" s="13">
        <v>172963677.42333323</v>
      </c>
      <c r="L37" s="13">
        <v>12870462.654999971</v>
      </c>
      <c r="M37" s="13" t="s">
        <v>192</v>
      </c>
      <c r="N37" s="197">
        <v>44075</v>
      </c>
      <c r="O37" s="16">
        <v>45901</v>
      </c>
      <c r="P37" s="13">
        <v>4263438.99</v>
      </c>
      <c r="Q37" s="242" t="e">
        <v>#VALUE!</v>
      </c>
    </row>
    <row r="38" spans="1:17" x14ac:dyDescent="0.2">
      <c r="A38" s="4" t="s">
        <v>15</v>
      </c>
      <c r="B38" s="13">
        <v>1108314599.5</v>
      </c>
      <c r="C38" s="13">
        <v>1048232324.84</v>
      </c>
      <c r="D38" s="13">
        <v>60082274.659999967</v>
      </c>
      <c r="E38" s="13">
        <v>20815580.510000002</v>
      </c>
      <c r="F38" s="13">
        <v>23039495</v>
      </c>
      <c r="G38" s="14">
        <v>2.61</v>
      </c>
      <c r="H38" s="14">
        <v>0.9</v>
      </c>
      <c r="I38" s="13">
        <v>1734631.7091666667</v>
      </c>
      <c r="J38" s="15">
        <v>0</v>
      </c>
      <c r="K38" s="13">
        <v>60082274.659999967</v>
      </c>
      <c r="L38" s="13" t="s">
        <v>193</v>
      </c>
      <c r="M38" s="13" t="s">
        <v>193</v>
      </c>
      <c r="N38" s="197">
        <v>43556</v>
      </c>
      <c r="O38" s="16">
        <v>45748</v>
      </c>
      <c r="P38" s="13">
        <v>999887.69</v>
      </c>
      <c r="Q38" s="242" t="e">
        <v>#VALUE!</v>
      </c>
    </row>
    <row r="39" spans="1:17" x14ac:dyDescent="0.2">
      <c r="A39" s="4" t="s">
        <v>25</v>
      </c>
      <c r="B39" s="13">
        <v>351543186.45999998</v>
      </c>
      <c r="C39" s="13">
        <v>330007368.68000001</v>
      </c>
      <c r="D39" s="13">
        <v>21535817.779999971</v>
      </c>
      <c r="E39" s="13">
        <v>6542953.1799999997</v>
      </c>
      <c r="F39" s="13">
        <v>8658249</v>
      </c>
      <c r="G39" s="14">
        <v>2.4900000000000002</v>
      </c>
      <c r="H39" s="14">
        <v>0.76</v>
      </c>
      <c r="I39" s="13">
        <v>545246.09833333327</v>
      </c>
      <c r="J39" s="15">
        <v>0</v>
      </c>
      <c r="K39" s="13">
        <v>21535817.779999971</v>
      </c>
      <c r="L39" s="13" t="s">
        <v>193</v>
      </c>
      <c r="M39" s="13" t="s">
        <v>192</v>
      </c>
      <c r="N39" s="197">
        <v>43556</v>
      </c>
      <c r="O39" s="16">
        <v>45748</v>
      </c>
      <c r="P39" s="13">
        <v>823078.85</v>
      </c>
      <c r="Q39" s="242" t="e">
        <v>#VALUE!</v>
      </c>
    </row>
    <row r="40" spans="1:17" x14ac:dyDescent="0.2">
      <c r="A40" s="4" t="s">
        <v>31</v>
      </c>
      <c r="B40" s="13">
        <v>1227877221</v>
      </c>
      <c r="C40" s="13">
        <v>1171157935.6800001</v>
      </c>
      <c r="D40" s="13">
        <v>56719285.319999933</v>
      </c>
      <c r="E40" s="13">
        <v>20165974.300000001</v>
      </c>
      <c r="F40" s="13">
        <v>22761731</v>
      </c>
      <c r="G40" s="14">
        <v>2.4900000000000002</v>
      </c>
      <c r="H40" s="14">
        <v>0.89</v>
      </c>
      <c r="I40" s="13">
        <v>1680497.8583333334</v>
      </c>
      <c r="J40" s="15">
        <v>0</v>
      </c>
      <c r="K40" s="13">
        <v>56719285.319999933</v>
      </c>
      <c r="L40" s="13" t="s">
        <v>193</v>
      </c>
      <c r="M40" s="13" t="s">
        <v>192</v>
      </c>
      <c r="N40" s="197">
        <v>43922</v>
      </c>
      <c r="O40" s="16">
        <v>45748</v>
      </c>
      <c r="P40" s="13">
        <v>2030234.49</v>
      </c>
      <c r="Q40" s="242" t="e">
        <v>#VALUE!</v>
      </c>
    </row>
    <row r="41" spans="1:17" x14ac:dyDescent="0.2">
      <c r="A41" s="4" t="s">
        <v>59</v>
      </c>
      <c r="B41" s="13">
        <v>285086766</v>
      </c>
      <c r="C41" s="13">
        <v>267209557</v>
      </c>
      <c r="D41" s="13">
        <v>17877209</v>
      </c>
      <c r="E41" s="13">
        <v>8080379.4100000001</v>
      </c>
      <c r="F41" s="13">
        <v>7485780</v>
      </c>
      <c r="G41" s="14">
        <v>2.39</v>
      </c>
      <c r="H41" s="14">
        <v>1.08</v>
      </c>
      <c r="I41" s="13">
        <v>673364.95083333331</v>
      </c>
      <c r="J41" s="15">
        <v>2</v>
      </c>
      <c r="K41" s="13">
        <v>16530479.098333333</v>
      </c>
      <c r="L41" s="13">
        <v>1452824.5</v>
      </c>
      <c r="M41" s="13" t="s">
        <v>192</v>
      </c>
      <c r="N41" s="197">
        <v>43647</v>
      </c>
      <c r="O41" s="16">
        <v>45839</v>
      </c>
      <c r="P41" s="13">
        <v>566766</v>
      </c>
      <c r="Q41" s="242" t="e">
        <v>#VALUE!</v>
      </c>
    </row>
    <row r="42" spans="1:17" x14ac:dyDescent="0.2">
      <c r="A42" s="4" t="s">
        <v>18</v>
      </c>
      <c r="B42" s="13">
        <v>799406417.05999994</v>
      </c>
      <c r="C42" s="13">
        <v>759570732.89999998</v>
      </c>
      <c r="D42" s="13">
        <v>39835684.159999967</v>
      </c>
      <c r="E42" s="13">
        <v>27574220.059999999</v>
      </c>
      <c r="F42" s="13">
        <v>17480755</v>
      </c>
      <c r="G42" s="14">
        <v>2.2799999999999998</v>
      </c>
      <c r="H42" s="14">
        <v>1.58</v>
      </c>
      <c r="I42" s="13">
        <v>2297851.6716666664</v>
      </c>
      <c r="J42" s="15">
        <v>2</v>
      </c>
      <c r="K42" s="13">
        <v>35239980.816666633</v>
      </c>
      <c r="L42" s="13">
        <v>2437087.0799999833</v>
      </c>
      <c r="M42" s="13" t="s">
        <v>192</v>
      </c>
      <c r="N42" s="197">
        <v>43647</v>
      </c>
      <c r="O42" s="16">
        <v>45839</v>
      </c>
      <c r="P42" s="13">
        <v>1537866.5</v>
      </c>
      <c r="Q42" s="242" t="e">
        <v>#VALUE!</v>
      </c>
    </row>
    <row r="43" spans="1:17" x14ac:dyDescent="0.2">
      <c r="A43" s="4" t="s">
        <v>49</v>
      </c>
      <c r="B43" s="13">
        <v>699328036.19000006</v>
      </c>
      <c r="C43" s="13">
        <v>668913180.32000005</v>
      </c>
      <c r="D43" s="13">
        <v>30414855.870000005</v>
      </c>
      <c r="E43" s="13">
        <v>12638401.779999999</v>
      </c>
      <c r="F43" s="13">
        <v>14024709</v>
      </c>
      <c r="G43" s="14">
        <v>2.17</v>
      </c>
      <c r="H43" s="14">
        <v>0.9</v>
      </c>
      <c r="I43" s="13">
        <v>1053200.1483333332</v>
      </c>
      <c r="J43" s="15">
        <v>0</v>
      </c>
      <c r="K43" s="13">
        <v>30414855.870000005</v>
      </c>
      <c r="L43" s="13" t="s">
        <v>193</v>
      </c>
      <c r="M43" s="13" t="s">
        <v>192</v>
      </c>
      <c r="N43" s="197">
        <v>43922</v>
      </c>
      <c r="O43" s="16">
        <v>45748</v>
      </c>
      <c r="P43" s="13">
        <v>1791111.52</v>
      </c>
      <c r="Q43" s="242" t="e">
        <v>#VALUE!</v>
      </c>
    </row>
    <row r="44" spans="1:17" x14ac:dyDescent="0.2">
      <c r="A44" s="4" t="s">
        <v>50</v>
      </c>
      <c r="B44" s="13">
        <v>557171086.30999994</v>
      </c>
      <c r="C44" s="13">
        <v>531811649.91000003</v>
      </c>
      <c r="D44" s="13">
        <v>25359436.399999917</v>
      </c>
      <c r="E44" s="13">
        <v>16461069.6</v>
      </c>
      <c r="F44" s="13">
        <v>11761407</v>
      </c>
      <c r="G44" s="14">
        <v>2.16</v>
      </c>
      <c r="H44" s="14">
        <v>1.4</v>
      </c>
      <c r="I44" s="13">
        <v>1371755.8</v>
      </c>
      <c r="J44" s="15">
        <v>8</v>
      </c>
      <c r="K44" s="13">
        <v>14385389.999999916</v>
      </c>
      <c r="L44" s="13" t="s">
        <v>192</v>
      </c>
      <c r="M44" s="13" t="s">
        <v>192</v>
      </c>
      <c r="N44" s="197">
        <v>43831</v>
      </c>
      <c r="O44" s="16">
        <v>46023</v>
      </c>
      <c r="P44" s="13">
        <v>1341667.5</v>
      </c>
      <c r="Q44" s="242" t="e">
        <v>#VALUE!</v>
      </c>
    </row>
    <row r="45" spans="1:17" x14ac:dyDescent="0.2">
      <c r="A45" s="4" t="s">
        <v>34</v>
      </c>
      <c r="B45" s="13">
        <v>1428807757.99</v>
      </c>
      <c r="C45" s="13">
        <v>1354656677.8</v>
      </c>
      <c r="D45" s="13">
        <v>74151080.190000057</v>
      </c>
      <c r="E45" s="13">
        <v>48758488.219999999</v>
      </c>
      <c r="F45" s="13">
        <v>34424780</v>
      </c>
      <c r="G45" s="14">
        <v>2.15</v>
      </c>
      <c r="H45" s="14">
        <v>1.42</v>
      </c>
      <c r="I45" s="13">
        <v>4063207.3516666666</v>
      </c>
      <c r="J45" s="15">
        <v>0</v>
      </c>
      <c r="K45" s="13">
        <v>74151080.190000057</v>
      </c>
      <c r="L45" s="13" t="s">
        <v>193</v>
      </c>
      <c r="M45" s="13" t="s">
        <v>192</v>
      </c>
      <c r="N45" s="197">
        <v>43922</v>
      </c>
      <c r="O45" s="16">
        <v>45748</v>
      </c>
      <c r="P45" s="13">
        <v>2180460.39</v>
      </c>
      <c r="Q45" s="242" t="e">
        <v>#VALUE!</v>
      </c>
    </row>
    <row r="46" spans="1:17" x14ac:dyDescent="0.2">
      <c r="A46" s="4" t="s">
        <v>48</v>
      </c>
      <c r="B46" s="13">
        <v>1985336227.8699999</v>
      </c>
      <c r="C46" s="13">
        <v>1888405026.3099999</v>
      </c>
      <c r="D46" s="13">
        <v>96931201.559999943</v>
      </c>
      <c r="E46" s="13">
        <v>42422658.079999998</v>
      </c>
      <c r="F46" s="13">
        <v>45588088</v>
      </c>
      <c r="G46" s="14">
        <v>2.13</v>
      </c>
      <c r="H46" s="14">
        <v>0.93</v>
      </c>
      <c r="I46" s="13">
        <v>3535221.5066666664</v>
      </c>
      <c r="J46" s="15">
        <v>2</v>
      </c>
      <c r="K46" s="13">
        <v>89860758.546666607</v>
      </c>
      <c r="L46" s="13" t="s">
        <v>192</v>
      </c>
      <c r="M46" s="13" t="s">
        <v>192</v>
      </c>
      <c r="N46" s="197">
        <v>43647</v>
      </c>
      <c r="O46" s="16">
        <v>45839</v>
      </c>
      <c r="P46" s="13">
        <v>3646356.29</v>
      </c>
      <c r="Q46" s="242" t="e">
        <v>#VALUE!</v>
      </c>
    </row>
    <row r="47" spans="1:17" x14ac:dyDescent="0.2">
      <c r="A47" s="4" t="s">
        <v>63</v>
      </c>
      <c r="B47" s="13">
        <v>1110426785</v>
      </c>
      <c r="C47" s="13">
        <v>1052613383.5599999</v>
      </c>
      <c r="D47" s="13">
        <v>57813401.440000057</v>
      </c>
      <c r="E47" s="13">
        <v>20730806.940000001</v>
      </c>
      <c r="F47" s="13">
        <v>27485501</v>
      </c>
      <c r="G47" s="14">
        <v>2.1</v>
      </c>
      <c r="H47" s="14">
        <v>0.75</v>
      </c>
      <c r="I47" s="13">
        <v>1727567.2450000001</v>
      </c>
      <c r="J47" s="15">
        <v>0</v>
      </c>
      <c r="K47" s="13">
        <v>57813401.440000057</v>
      </c>
      <c r="L47" s="13" t="s">
        <v>193</v>
      </c>
      <c r="M47" s="13" t="s">
        <v>192</v>
      </c>
      <c r="N47" s="197">
        <v>43922</v>
      </c>
      <c r="O47" s="16">
        <v>45748</v>
      </c>
      <c r="P47" s="13">
        <v>0</v>
      </c>
      <c r="Q47" s="242" t="e">
        <v>#VALUE!</v>
      </c>
    </row>
    <row r="48" spans="1:17" x14ac:dyDescent="0.2">
      <c r="A48" s="4" t="s">
        <v>41</v>
      </c>
      <c r="B48" s="13">
        <v>101611843</v>
      </c>
      <c r="C48" s="13">
        <v>95519498.079999998</v>
      </c>
      <c r="D48" s="13">
        <v>6092344.9200000018</v>
      </c>
      <c r="E48" s="13">
        <v>3012059.48</v>
      </c>
      <c r="F48" s="13">
        <v>2910779</v>
      </c>
      <c r="G48" s="14">
        <v>2.09</v>
      </c>
      <c r="H48" s="14">
        <v>1.03</v>
      </c>
      <c r="I48" s="13">
        <v>251004.95666666667</v>
      </c>
      <c r="J48" s="15">
        <v>2</v>
      </c>
      <c r="K48" s="13">
        <v>5590335.0066666687</v>
      </c>
      <c r="L48" s="13" t="s">
        <v>192</v>
      </c>
      <c r="M48" s="13" t="s">
        <v>192</v>
      </c>
      <c r="N48" s="197">
        <v>43647</v>
      </c>
      <c r="O48" s="16">
        <v>45839</v>
      </c>
      <c r="P48" s="13">
        <v>332432.57</v>
      </c>
      <c r="Q48" s="242" t="e">
        <v>#VALUE!</v>
      </c>
    </row>
    <row r="49" spans="1:17" x14ac:dyDescent="0.2">
      <c r="A49" s="4" t="s">
        <v>32</v>
      </c>
      <c r="B49" s="13">
        <v>509113932</v>
      </c>
      <c r="C49" s="13">
        <v>485310680.99000001</v>
      </c>
      <c r="D49" s="13">
        <v>23803251.00999999</v>
      </c>
      <c r="E49" s="13">
        <v>10929657.48</v>
      </c>
      <c r="F49" s="13">
        <v>11867952</v>
      </c>
      <c r="G49" s="14">
        <v>2.0099999999999998</v>
      </c>
      <c r="H49" s="14">
        <v>0.92</v>
      </c>
      <c r="I49" s="13">
        <v>910804.79</v>
      </c>
      <c r="J49" s="15">
        <v>8</v>
      </c>
      <c r="K49" s="13">
        <v>16516812.68999999</v>
      </c>
      <c r="L49" s="13" t="s">
        <v>192</v>
      </c>
      <c r="M49" s="13" t="s">
        <v>192</v>
      </c>
      <c r="N49" s="197">
        <v>43831</v>
      </c>
      <c r="O49" s="16">
        <v>46023</v>
      </c>
      <c r="P49" s="13">
        <v>871180.86</v>
      </c>
      <c r="Q49" s="242" t="e">
        <v>#VALUE!</v>
      </c>
    </row>
    <row r="50" spans="1:17" x14ac:dyDescent="0.2">
      <c r="A50" s="4" t="s">
        <v>17</v>
      </c>
      <c r="B50" s="13">
        <v>398824318</v>
      </c>
      <c r="C50" s="13">
        <v>380220254.10000002</v>
      </c>
      <c r="D50" s="13">
        <v>18604063.899999976</v>
      </c>
      <c r="E50" s="13">
        <v>10912533.34</v>
      </c>
      <c r="F50" s="13">
        <v>9664284</v>
      </c>
      <c r="G50" s="14">
        <v>1.93</v>
      </c>
      <c r="H50" s="14">
        <v>1.1299999999999999</v>
      </c>
      <c r="I50" s="13">
        <v>909377.77833333332</v>
      </c>
      <c r="J50" s="15">
        <v>2</v>
      </c>
      <c r="K50" s="13">
        <v>16785308.343333311</v>
      </c>
      <c r="L50" s="13" t="s">
        <v>192</v>
      </c>
      <c r="M50" s="13" t="s">
        <v>192</v>
      </c>
      <c r="N50" s="197">
        <v>43647</v>
      </c>
      <c r="O50" s="16">
        <v>45839</v>
      </c>
      <c r="P50" s="13">
        <v>887148.52</v>
      </c>
      <c r="Q50" s="242" t="e">
        <v>#VALUE!</v>
      </c>
    </row>
    <row r="51" spans="1:17" x14ac:dyDescent="0.2">
      <c r="A51" s="4" t="s">
        <v>58</v>
      </c>
      <c r="B51" s="13">
        <v>243764651</v>
      </c>
      <c r="C51" s="13">
        <v>234173526.93000001</v>
      </c>
      <c r="D51" s="13">
        <v>9591124.0699999928</v>
      </c>
      <c r="E51" s="13">
        <v>4915897.5199999996</v>
      </c>
      <c r="F51" s="13">
        <v>5561418</v>
      </c>
      <c r="G51" s="14">
        <v>1.72</v>
      </c>
      <c r="H51" s="14">
        <v>0.88</v>
      </c>
      <c r="I51" s="13">
        <v>409658.12666666665</v>
      </c>
      <c r="J51" s="15">
        <v>2</v>
      </c>
      <c r="K51" s="13">
        <v>8771807.816666659</v>
      </c>
      <c r="L51" s="13" t="s">
        <v>192</v>
      </c>
      <c r="M51" s="13" t="s">
        <v>192</v>
      </c>
      <c r="N51" s="197">
        <v>43647</v>
      </c>
      <c r="O51" s="16">
        <v>45839</v>
      </c>
      <c r="P51" s="13">
        <v>114566.97</v>
      </c>
      <c r="Q51" s="242" t="e">
        <v>#VALUE!</v>
      </c>
    </row>
    <row r="52" spans="1:17" x14ac:dyDescent="0.2">
      <c r="A52" s="4" t="s">
        <v>22</v>
      </c>
      <c r="B52" s="13">
        <v>78247436</v>
      </c>
      <c r="C52" s="13">
        <v>74501453.569999993</v>
      </c>
      <c r="D52" s="18">
        <v>3745982.4300000072</v>
      </c>
      <c r="E52" s="13">
        <v>2681222.7200000002</v>
      </c>
      <c r="F52" s="13">
        <v>2776815</v>
      </c>
      <c r="G52" s="14">
        <v>1.35</v>
      </c>
      <c r="H52" s="14">
        <v>0.97</v>
      </c>
      <c r="I52" s="18">
        <v>223435.22666666668</v>
      </c>
      <c r="J52" s="15">
        <v>2</v>
      </c>
      <c r="K52" s="18">
        <v>3299111.976666674</v>
      </c>
      <c r="L52" s="18" t="s">
        <v>192</v>
      </c>
      <c r="M52" s="18" t="s">
        <v>192</v>
      </c>
      <c r="N52" s="198">
        <v>43647</v>
      </c>
      <c r="O52" s="16">
        <v>45839</v>
      </c>
      <c r="P52" s="13">
        <v>285305.73</v>
      </c>
      <c r="Q52" s="242" t="e">
        <v>#VALUE!</v>
      </c>
    </row>
    <row r="53" spans="1:17" x14ac:dyDescent="0.25">
      <c r="A53" s="36" t="s">
        <v>65</v>
      </c>
      <c r="B53" s="33">
        <v>44003498105.440002</v>
      </c>
      <c r="C53" s="13">
        <v>40691721068.349998</v>
      </c>
      <c r="D53" s="33">
        <v>3311777037.090004</v>
      </c>
      <c r="E53" s="13">
        <v>926399831.60000002</v>
      </c>
      <c r="F53" s="13">
        <v>983304245</v>
      </c>
      <c r="G53" s="14">
        <v>3.37</v>
      </c>
      <c r="H53" s="14">
        <v>0.94</v>
      </c>
      <c r="I53" s="33">
        <v>77199985.966666669</v>
      </c>
      <c r="J53" s="34"/>
      <c r="K53" s="35"/>
      <c r="L53" s="35"/>
      <c r="M53" s="35"/>
      <c r="N53" s="35"/>
      <c r="O53" s="35"/>
      <c r="P53" s="33">
        <v>79856473.049999982</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36</v>
      </c>
      <c r="H56" s="25"/>
    </row>
    <row r="57" spans="1:17" ht="27" customHeight="1" thickBot="1" x14ac:dyDescent="0.3">
      <c r="D57" s="248" t="s">
        <v>67</v>
      </c>
      <c r="E57" s="249"/>
      <c r="F57" s="249"/>
      <c r="G57" s="27"/>
      <c r="H57" s="28">
        <v>32</v>
      </c>
    </row>
  </sheetData>
  <mergeCells count="2">
    <mergeCell ref="D56:F56"/>
    <mergeCell ref="D57:F57"/>
  </mergeCells>
  <conditionalFormatting sqref="G54">
    <cfRule type="cellIs" dxfId="195" priority="13" stopIfTrue="1" operator="greaterThan">
      <formula>2.5</formula>
    </cfRule>
    <cfRule type="cellIs" dxfId="194" priority="14" stopIfTrue="1" operator="between">
      <formula>2.01</formula>
      <formula>2.5</formula>
    </cfRule>
  </conditionalFormatting>
  <conditionalFormatting sqref="H3:H53">
    <cfRule type="cellIs" dxfId="193" priority="12" stopIfTrue="1" operator="lessThan">
      <formula>1</formula>
    </cfRule>
  </conditionalFormatting>
  <conditionalFormatting sqref="G3:G53">
    <cfRule type="cellIs" dxfId="192" priority="10" stopIfTrue="1" operator="greaterThan">
      <formula>2.5</formula>
    </cfRule>
    <cfRule type="cellIs" dxfId="191" priority="11" stopIfTrue="1" operator="between">
      <formula>2.01</formula>
      <formula>2.5</formula>
    </cfRule>
  </conditionalFormatting>
  <conditionalFormatting sqref="K3:K52">
    <cfRule type="cellIs" dxfId="190" priority="8" stopIfTrue="1" operator="greaterThan">
      <formula>$F3*2.5</formula>
    </cfRule>
    <cfRule type="cellIs" dxfId="189" priority="9" stopIfTrue="1" operator="between">
      <formula>$F3*2</formula>
      <formula>$F3*2.5</formula>
    </cfRule>
  </conditionalFormatting>
  <conditionalFormatting sqref="G54">
    <cfRule type="cellIs" dxfId="188" priority="6" stopIfTrue="1" operator="greaterThan">
      <formula>2.5</formula>
    </cfRule>
    <cfRule type="cellIs" dxfId="187" priority="7" stopIfTrue="1" operator="between">
      <formula>2.01</formula>
      <formula>2.5</formula>
    </cfRule>
  </conditionalFormatting>
  <conditionalFormatting sqref="H3:H53">
    <cfRule type="cellIs" dxfId="186" priority="5" stopIfTrue="1" operator="lessThan">
      <formula>1</formula>
    </cfRule>
  </conditionalFormatting>
  <conditionalFormatting sqref="G3:G53">
    <cfRule type="cellIs" dxfId="185" priority="3" stopIfTrue="1" operator="greaterThan">
      <formula>2.5</formula>
    </cfRule>
    <cfRule type="cellIs" dxfId="184" priority="4" stopIfTrue="1" operator="between">
      <formula>2.01</formula>
      <formula>2.5</formula>
    </cfRule>
  </conditionalFormatting>
  <conditionalFormatting sqref="K3:K52">
    <cfRule type="cellIs" dxfId="183" priority="1" stopIfTrue="1" operator="greaterThan">
      <formula>$F3*2.5</formula>
    </cfRule>
    <cfRule type="cellIs" dxfId="182"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E1D7C-2CF6-4998-83D3-B702D856C5A8}">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296</v>
      </c>
      <c r="B1" s="196" t="s">
        <v>297</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1161972037.8499999</v>
      </c>
      <c r="C3" s="13">
        <v>1008314101.02</v>
      </c>
      <c r="D3" s="13">
        <v>153657936.82999992</v>
      </c>
      <c r="E3" s="13">
        <v>22983329.920000002</v>
      </c>
      <c r="F3" s="13">
        <v>24581601</v>
      </c>
      <c r="G3" s="14">
        <v>6.25</v>
      </c>
      <c r="H3" s="14">
        <v>0.93</v>
      </c>
      <c r="I3" s="13">
        <v>1915277.4933333334</v>
      </c>
      <c r="J3" s="15">
        <v>1</v>
      </c>
      <c r="K3" s="13">
        <v>151742659.33666658</v>
      </c>
      <c r="L3" s="13">
        <v>104494734.82999992</v>
      </c>
      <c r="M3" s="13">
        <v>92203934.329999924</v>
      </c>
      <c r="N3" s="197">
        <v>43647</v>
      </c>
      <c r="O3" s="16">
        <v>45839</v>
      </c>
      <c r="P3" s="13">
        <v>434083.82</v>
      </c>
      <c r="Q3" s="243" t="e">
        <v>#VALUE!</v>
      </c>
    </row>
    <row r="4" spans="1:17" x14ac:dyDescent="0.2">
      <c r="A4" s="4" t="s">
        <v>62</v>
      </c>
      <c r="B4" s="13">
        <v>722479384.32000005</v>
      </c>
      <c r="C4" s="13">
        <v>646363681.32000005</v>
      </c>
      <c r="D4" s="13">
        <v>76115703</v>
      </c>
      <c r="E4" s="13">
        <v>11361399.140000001</v>
      </c>
      <c r="F4" s="13">
        <v>13783001</v>
      </c>
      <c r="G4" s="14">
        <v>5.52</v>
      </c>
      <c r="H4" s="14">
        <v>0.82</v>
      </c>
      <c r="I4" s="13">
        <v>946783.26166666672</v>
      </c>
      <c r="J4" s="15">
        <v>1</v>
      </c>
      <c r="K4" s="13">
        <v>75168919.73833333</v>
      </c>
      <c r="L4" s="13">
        <v>48549701</v>
      </c>
      <c r="M4" s="13">
        <v>41658200.5</v>
      </c>
      <c r="N4" s="197">
        <v>43647</v>
      </c>
      <c r="O4" s="16">
        <v>45839</v>
      </c>
      <c r="P4" s="13">
        <v>569194.9</v>
      </c>
      <c r="Q4" s="242" t="e">
        <v>#VALUE!</v>
      </c>
    </row>
    <row r="5" spans="1:17" x14ac:dyDescent="0.2">
      <c r="A5" s="4" t="s">
        <v>46</v>
      </c>
      <c r="B5" s="13">
        <v>1834758280.3599999</v>
      </c>
      <c r="C5" s="13">
        <v>1583077837.5999999</v>
      </c>
      <c r="D5" s="13">
        <v>251680442.75999999</v>
      </c>
      <c r="E5" s="13">
        <v>41217477.509999998</v>
      </c>
      <c r="F5" s="13">
        <v>46162390</v>
      </c>
      <c r="G5" s="14">
        <v>5.45</v>
      </c>
      <c r="H5" s="14">
        <v>0.89</v>
      </c>
      <c r="I5" s="13">
        <v>3434789.7925</v>
      </c>
      <c r="J5" s="15">
        <v>7</v>
      </c>
      <c r="K5" s="13">
        <v>227636914.21249998</v>
      </c>
      <c r="L5" s="13">
        <v>22765094.68</v>
      </c>
      <c r="M5" s="13">
        <v>19467781.108571429</v>
      </c>
      <c r="N5" s="197">
        <v>43831</v>
      </c>
      <c r="O5" s="16">
        <v>46023</v>
      </c>
      <c r="P5" s="13">
        <v>5793130</v>
      </c>
      <c r="Q5" s="242" t="e">
        <v>#VALUE!</v>
      </c>
    </row>
    <row r="6" spans="1:17" x14ac:dyDescent="0.2">
      <c r="A6" s="4" t="s">
        <v>35</v>
      </c>
      <c r="B6" s="13">
        <v>1503333344.97</v>
      </c>
      <c r="C6" s="13">
        <v>1320580822.46</v>
      </c>
      <c r="D6" s="13">
        <v>182752522.50999999</v>
      </c>
      <c r="E6" s="13">
        <v>24643373.66</v>
      </c>
      <c r="F6" s="13">
        <v>34090474</v>
      </c>
      <c r="G6" s="14">
        <v>5.36</v>
      </c>
      <c r="H6" s="14">
        <v>0.72</v>
      </c>
      <c r="I6" s="13">
        <v>2053614.4716666667</v>
      </c>
      <c r="J6" s="15">
        <v>1</v>
      </c>
      <c r="K6" s="13">
        <v>180698908.03833333</v>
      </c>
      <c r="L6" s="13">
        <v>114571574.50999999</v>
      </c>
      <c r="M6" s="13">
        <v>97526337.50999999</v>
      </c>
      <c r="N6" s="197">
        <v>43647</v>
      </c>
      <c r="O6" s="16">
        <v>45839</v>
      </c>
      <c r="P6" s="13">
        <v>1851094.35</v>
      </c>
      <c r="Q6" s="242" t="e">
        <v>#VALUE!</v>
      </c>
    </row>
    <row r="7" spans="1:17" x14ac:dyDescent="0.2">
      <c r="A7" s="4" t="s">
        <v>44</v>
      </c>
      <c r="B7" s="13">
        <v>504504813</v>
      </c>
      <c r="C7" s="13">
        <v>458349733.87</v>
      </c>
      <c r="D7" s="13">
        <v>46155079.129999995</v>
      </c>
      <c r="E7" s="13">
        <v>11347986.83</v>
      </c>
      <c r="F7" s="13">
        <v>10946097</v>
      </c>
      <c r="G7" s="14">
        <v>4.22</v>
      </c>
      <c r="H7" s="14">
        <v>1.04</v>
      </c>
      <c r="I7" s="13">
        <v>945665.56916666671</v>
      </c>
      <c r="J7" s="15">
        <v>7</v>
      </c>
      <c r="K7" s="13">
        <v>39535420.145833328</v>
      </c>
      <c r="L7" s="13">
        <v>3466126.4471428567</v>
      </c>
      <c r="M7" s="13">
        <v>2684262.3757142848</v>
      </c>
      <c r="N7" s="197">
        <v>43831</v>
      </c>
      <c r="O7" s="16">
        <v>46023</v>
      </c>
      <c r="P7" s="13">
        <v>815530.67</v>
      </c>
      <c r="Q7" s="242" t="e">
        <v>#VALUE!</v>
      </c>
    </row>
    <row r="8" spans="1:17" x14ac:dyDescent="0.2">
      <c r="A8" s="4" t="s">
        <v>64</v>
      </c>
      <c r="B8" s="13">
        <v>124445693.39</v>
      </c>
      <c r="C8" s="13">
        <v>109537848.05</v>
      </c>
      <c r="D8" s="13">
        <v>14907845.340000004</v>
      </c>
      <c r="E8" s="13">
        <v>5092785.7699999996</v>
      </c>
      <c r="F8" s="13">
        <v>3545933</v>
      </c>
      <c r="G8" s="14">
        <v>4.2</v>
      </c>
      <c r="H8" s="14">
        <v>1.44</v>
      </c>
      <c r="I8" s="13">
        <v>424398.81416666665</v>
      </c>
      <c r="J8" s="15">
        <v>7</v>
      </c>
      <c r="K8" s="13">
        <v>11937053.640833337</v>
      </c>
      <c r="L8" s="13">
        <v>1116568.4771428576</v>
      </c>
      <c r="M8" s="13">
        <v>863287.5485714291</v>
      </c>
      <c r="N8" s="197">
        <v>43831</v>
      </c>
      <c r="O8" s="16">
        <v>46023</v>
      </c>
      <c r="P8" s="13">
        <v>232577.73</v>
      </c>
      <c r="Q8" s="242" t="e">
        <v>#VALUE!</v>
      </c>
    </row>
    <row r="9" spans="1:17" x14ac:dyDescent="0.2">
      <c r="A9" s="4" t="s">
        <v>36</v>
      </c>
      <c r="B9" s="13">
        <v>872347192</v>
      </c>
      <c r="C9" s="13">
        <v>792762638.57000005</v>
      </c>
      <c r="D9" s="13">
        <v>79584553.429999948</v>
      </c>
      <c r="E9" s="13">
        <v>16803870.059999999</v>
      </c>
      <c r="F9" s="13">
        <v>19090913</v>
      </c>
      <c r="G9" s="14">
        <v>4.17</v>
      </c>
      <c r="H9" s="14">
        <v>0.88</v>
      </c>
      <c r="I9" s="13">
        <v>1400322.5049999999</v>
      </c>
      <c r="J9" s="15">
        <v>4</v>
      </c>
      <c r="K9" s="13">
        <v>73983263.409999952</v>
      </c>
      <c r="L9" s="13">
        <v>10350681.857499987</v>
      </c>
      <c r="M9" s="13">
        <v>7964317.7324999869</v>
      </c>
      <c r="N9" s="197">
        <v>43739</v>
      </c>
      <c r="O9" s="16">
        <v>45931</v>
      </c>
      <c r="P9" s="13">
        <v>732440.99</v>
      </c>
      <c r="Q9" s="242" t="e">
        <v>#VALUE!</v>
      </c>
    </row>
    <row r="10" spans="1:17" x14ac:dyDescent="0.2">
      <c r="A10" s="4" t="s">
        <v>52</v>
      </c>
      <c r="B10" s="13">
        <v>1966895481</v>
      </c>
      <c r="C10" s="13">
        <v>1876944112.21</v>
      </c>
      <c r="D10" s="13">
        <v>89951368.789999962</v>
      </c>
      <c r="E10" s="13">
        <v>22094308.800000001</v>
      </c>
      <c r="F10" s="13">
        <v>21788490</v>
      </c>
      <c r="G10" s="14">
        <v>4.13</v>
      </c>
      <c r="H10" s="14">
        <v>1.01</v>
      </c>
      <c r="I10" s="13">
        <v>1841192.4000000001</v>
      </c>
      <c r="J10" s="15">
        <v>1</v>
      </c>
      <c r="K10" s="13">
        <v>88110176.389999956</v>
      </c>
      <c r="L10" s="13">
        <v>46374388.789999962</v>
      </c>
      <c r="M10" s="13">
        <v>35480143.789999962</v>
      </c>
      <c r="N10" s="197">
        <v>43647</v>
      </c>
      <c r="O10" s="16">
        <v>45839</v>
      </c>
      <c r="P10" s="13">
        <v>1948643.13</v>
      </c>
      <c r="Q10" s="242" t="e">
        <v>#VALUE!</v>
      </c>
    </row>
    <row r="11" spans="1:17" x14ac:dyDescent="0.2">
      <c r="A11" s="4" t="s">
        <v>60</v>
      </c>
      <c r="B11" s="13">
        <v>813673223</v>
      </c>
      <c r="C11" s="13">
        <v>733318218.15999997</v>
      </c>
      <c r="D11" s="13">
        <v>80355004.840000033</v>
      </c>
      <c r="E11" s="13">
        <v>11719478.859999999</v>
      </c>
      <c r="F11" s="13">
        <v>19453948</v>
      </c>
      <c r="G11" s="14">
        <v>4.13</v>
      </c>
      <c r="H11" s="14">
        <v>0.6</v>
      </c>
      <c r="I11" s="13">
        <v>976623.23833333328</v>
      </c>
      <c r="J11" s="15">
        <v>1</v>
      </c>
      <c r="K11" s="13">
        <v>79378381.601666704</v>
      </c>
      <c r="L11" s="13">
        <v>41447108.840000033</v>
      </c>
      <c r="M11" s="13">
        <v>31720134.840000033</v>
      </c>
      <c r="N11" s="197">
        <v>43647</v>
      </c>
      <c r="O11" s="16">
        <v>45839</v>
      </c>
      <c r="P11" s="13">
        <v>937774.11</v>
      </c>
      <c r="Q11" s="242" t="e">
        <v>#VALUE!</v>
      </c>
    </row>
    <row r="12" spans="1:17" x14ac:dyDescent="0.2">
      <c r="A12" s="4" t="s">
        <v>30</v>
      </c>
      <c r="B12" s="13">
        <v>1194714205.73</v>
      </c>
      <c r="C12" s="13">
        <v>1085140387.95</v>
      </c>
      <c r="D12" s="13">
        <v>109573817.77999997</v>
      </c>
      <c r="E12" s="13">
        <v>21712297.530000001</v>
      </c>
      <c r="F12" s="13">
        <v>26571929</v>
      </c>
      <c r="G12" s="14">
        <v>4.12</v>
      </c>
      <c r="H12" s="14">
        <v>0.82</v>
      </c>
      <c r="I12" s="13">
        <v>1809358.1275000002</v>
      </c>
      <c r="J12" s="15">
        <v>1</v>
      </c>
      <c r="K12" s="13">
        <v>107764459.65249997</v>
      </c>
      <c r="L12" s="13">
        <v>56429959.779999971</v>
      </c>
      <c r="M12" s="13">
        <v>43143995.279999971</v>
      </c>
      <c r="N12" s="197">
        <v>43647</v>
      </c>
      <c r="O12" s="16">
        <v>45839</v>
      </c>
      <c r="P12" s="13">
        <v>1735726</v>
      </c>
      <c r="Q12" s="242" t="e">
        <v>#VALUE!</v>
      </c>
    </row>
    <row r="13" spans="1:17" x14ac:dyDescent="0.2">
      <c r="A13" s="4" t="s">
        <v>26</v>
      </c>
      <c r="B13" s="13">
        <v>1365257298.0599999</v>
      </c>
      <c r="C13" s="13">
        <v>1246295807.6099999</v>
      </c>
      <c r="D13" s="13">
        <v>118961490.45000005</v>
      </c>
      <c r="E13" s="13">
        <v>56731255.200000003</v>
      </c>
      <c r="F13" s="13">
        <v>28988172</v>
      </c>
      <c r="G13" s="14">
        <v>4.0999999999999996</v>
      </c>
      <c r="H13" s="14">
        <v>1.96</v>
      </c>
      <c r="I13" s="13">
        <v>4727604.6000000006</v>
      </c>
      <c r="J13" s="15">
        <v>7</v>
      </c>
      <c r="K13" s="13">
        <v>85868258.250000045</v>
      </c>
      <c r="L13" s="13">
        <v>8712163.7785714362</v>
      </c>
      <c r="M13" s="13">
        <v>6641580.0642857207</v>
      </c>
      <c r="N13" s="197">
        <v>43831</v>
      </c>
      <c r="O13" s="16">
        <v>46023</v>
      </c>
      <c r="P13" s="13">
        <v>3917295.62</v>
      </c>
      <c r="Q13" s="242" t="e">
        <v>#VALUE!</v>
      </c>
    </row>
    <row r="14" spans="1:17" x14ac:dyDescent="0.2">
      <c r="A14" s="4" t="s">
        <v>40</v>
      </c>
      <c r="B14" s="13">
        <v>511163315.91000003</v>
      </c>
      <c r="C14" s="13">
        <v>467774989.91000003</v>
      </c>
      <c r="D14" s="13">
        <v>43388326</v>
      </c>
      <c r="E14" s="13">
        <v>6643398.71</v>
      </c>
      <c r="F14" s="13">
        <v>10598087</v>
      </c>
      <c r="G14" s="14">
        <v>4.09</v>
      </c>
      <c r="H14" s="14">
        <v>0.63</v>
      </c>
      <c r="I14" s="13">
        <v>553616.5591666667</v>
      </c>
      <c r="J14" s="15">
        <v>1</v>
      </c>
      <c r="K14" s="13">
        <v>42834709.44083333</v>
      </c>
      <c r="L14" s="13">
        <v>22192152</v>
      </c>
      <c r="M14" s="13">
        <v>16893108.5</v>
      </c>
      <c r="N14" s="197">
        <v>43647</v>
      </c>
      <c r="O14" s="16">
        <v>45839</v>
      </c>
      <c r="P14" s="13">
        <v>438618.37</v>
      </c>
      <c r="Q14" s="242" t="e">
        <v>#VALUE!</v>
      </c>
    </row>
    <row r="15" spans="1:17" x14ac:dyDescent="0.2">
      <c r="A15" s="4" t="s">
        <v>39</v>
      </c>
      <c r="B15" s="13">
        <v>271317340</v>
      </c>
      <c r="C15" s="13">
        <v>247684134.75999999</v>
      </c>
      <c r="D15" s="13">
        <v>23633205.24000001</v>
      </c>
      <c r="E15" s="13">
        <v>7918059.7400000002</v>
      </c>
      <c r="F15" s="13">
        <v>6196840</v>
      </c>
      <c r="G15" s="14">
        <v>3.81</v>
      </c>
      <c r="H15" s="14">
        <v>1.28</v>
      </c>
      <c r="I15" s="13">
        <v>659838.31166666665</v>
      </c>
      <c r="J15" s="15">
        <v>0</v>
      </c>
      <c r="K15" s="13">
        <v>23633205.24000001</v>
      </c>
      <c r="L15" s="13" t="s">
        <v>193</v>
      </c>
      <c r="M15" s="13" t="s">
        <v>193</v>
      </c>
      <c r="N15" s="197">
        <v>43922</v>
      </c>
      <c r="O15" s="16">
        <v>45748</v>
      </c>
      <c r="P15" s="13">
        <v>399637.92</v>
      </c>
      <c r="Q15" s="242" t="e">
        <v>#VALUE!</v>
      </c>
    </row>
    <row r="16" spans="1:17" x14ac:dyDescent="0.2">
      <c r="A16" s="4" t="s">
        <v>53</v>
      </c>
      <c r="B16" s="13">
        <v>208940278.25</v>
      </c>
      <c r="C16" s="13">
        <v>187649626.08000001</v>
      </c>
      <c r="D16" s="13">
        <v>21290652.169999987</v>
      </c>
      <c r="E16" s="13">
        <v>7885096.2599999998</v>
      </c>
      <c r="F16" s="13">
        <v>5755637</v>
      </c>
      <c r="G16" s="14">
        <v>3.7</v>
      </c>
      <c r="H16" s="14">
        <v>1.37</v>
      </c>
      <c r="I16" s="13">
        <v>657091.35499999998</v>
      </c>
      <c r="J16" s="15">
        <v>1</v>
      </c>
      <c r="K16" s="13">
        <v>20633560.814999986</v>
      </c>
      <c r="L16" s="13">
        <v>9779378.1699999869</v>
      </c>
      <c r="M16" s="13">
        <v>6901559.6699999869</v>
      </c>
      <c r="N16" s="197">
        <v>43647</v>
      </c>
      <c r="O16" s="16">
        <v>45839</v>
      </c>
      <c r="P16" s="13">
        <v>182932.64</v>
      </c>
      <c r="Q16" s="242" t="e">
        <v>#VALUE!</v>
      </c>
    </row>
    <row r="17" spans="1:17" x14ac:dyDescent="0.2">
      <c r="A17" s="4" t="s">
        <v>16</v>
      </c>
      <c r="B17" s="13">
        <v>107063879</v>
      </c>
      <c r="C17" s="13">
        <v>97232434.659999996</v>
      </c>
      <c r="D17" s="13">
        <v>9831444.3400000036</v>
      </c>
      <c r="E17" s="13">
        <v>2154693.7999999998</v>
      </c>
      <c r="F17" s="13">
        <v>2669761</v>
      </c>
      <c r="G17" s="14">
        <v>3.68</v>
      </c>
      <c r="H17" s="14">
        <v>0.81</v>
      </c>
      <c r="I17" s="13">
        <v>179557.81666666665</v>
      </c>
      <c r="J17" s="15">
        <v>1</v>
      </c>
      <c r="K17" s="13">
        <v>9651886.5233333372</v>
      </c>
      <c r="L17" s="13">
        <v>4491922.3400000036</v>
      </c>
      <c r="M17" s="13">
        <v>3157041.8400000036</v>
      </c>
      <c r="N17" s="197">
        <v>43647</v>
      </c>
      <c r="O17" s="16">
        <v>45839</v>
      </c>
      <c r="P17" s="13">
        <v>118135.22</v>
      </c>
      <c r="Q17" s="242" t="e">
        <v>#VALUE!</v>
      </c>
    </row>
    <row r="18" spans="1:17" x14ac:dyDescent="0.2">
      <c r="A18" s="4" t="s">
        <v>43</v>
      </c>
      <c r="B18" s="13">
        <v>307409614.24000001</v>
      </c>
      <c r="C18" s="13">
        <v>282285582.33999997</v>
      </c>
      <c r="D18" s="13">
        <v>25124031.900000036</v>
      </c>
      <c r="E18" s="13">
        <v>4498989.43</v>
      </c>
      <c r="F18" s="13">
        <v>6878551</v>
      </c>
      <c r="G18" s="14">
        <v>3.65</v>
      </c>
      <c r="H18" s="14">
        <v>0.65</v>
      </c>
      <c r="I18" s="13">
        <v>374915.78583333333</v>
      </c>
      <c r="J18" s="15">
        <v>1</v>
      </c>
      <c r="K18" s="13">
        <v>24749116.114166703</v>
      </c>
      <c r="L18" s="13">
        <v>11366929.900000036</v>
      </c>
      <c r="M18" s="13">
        <v>7927654.4000000358</v>
      </c>
      <c r="N18" s="197">
        <v>43647</v>
      </c>
      <c r="O18" s="16">
        <v>45839</v>
      </c>
      <c r="P18" s="13">
        <v>445535.85</v>
      </c>
      <c r="Q18" s="242" t="e">
        <v>#VALUE!</v>
      </c>
    </row>
    <row r="19" spans="1:17" x14ac:dyDescent="0.2">
      <c r="A19" s="4" t="s">
        <v>54</v>
      </c>
      <c r="B19" s="13">
        <v>1042589157.45</v>
      </c>
      <c r="C19" s="13">
        <v>969361588.20000005</v>
      </c>
      <c r="D19" s="13">
        <v>73227569.25</v>
      </c>
      <c r="E19" s="13">
        <v>19636759.16</v>
      </c>
      <c r="F19" s="13">
        <v>20158365</v>
      </c>
      <c r="G19" s="14">
        <v>3.63</v>
      </c>
      <c r="H19" s="14">
        <v>0.97</v>
      </c>
      <c r="I19" s="13">
        <v>1636396.5966666667</v>
      </c>
      <c r="J19" s="15">
        <v>0</v>
      </c>
      <c r="K19" s="13">
        <v>73227569.25</v>
      </c>
      <c r="L19" s="13" t="s">
        <v>193</v>
      </c>
      <c r="M19" s="13" t="s">
        <v>193</v>
      </c>
      <c r="N19" s="197">
        <v>43922</v>
      </c>
      <c r="O19" s="16">
        <v>45748</v>
      </c>
      <c r="P19" s="13">
        <v>1529166</v>
      </c>
      <c r="Q19" s="242" t="e">
        <v>#VALUE!</v>
      </c>
    </row>
    <row r="20" spans="1:17" x14ac:dyDescent="0.2">
      <c r="A20" s="4" t="s">
        <v>20</v>
      </c>
      <c r="B20" s="13">
        <v>402118853.93000001</v>
      </c>
      <c r="C20" s="13">
        <v>369246092.94</v>
      </c>
      <c r="D20" s="13">
        <v>32872760.99000001</v>
      </c>
      <c r="E20" s="13">
        <v>6447559.9100000001</v>
      </c>
      <c r="F20" s="13">
        <v>9522686</v>
      </c>
      <c r="G20" s="14">
        <v>3.45</v>
      </c>
      <c r="H20" s="14">
        <v>0.68</v>
      </c>
      <c r="I20" s="13">
        <v>537296.65916666668</v>
      </c>
      <c r="J20" s="15">
        <v>0</v>
      </c>
      <c r="K20" s="13">
        <v>32872760.99000001</v>
      </c>
      <c r="L20" s="13" t="s">
        <v>193</v>
      </c>
      <c r="M20" s="13" t="s">
        <v>193</v>
      </c>
      <c r="N20" s="197">
        <v>43556</v>
      </c>
      <c r="O20" s="16">
        <v>45748</v>
      </c>
      <c r="P20" s="13">
        <v>2108473.41</v>
      </c>
      <c r="Q20" s="242" t="e">
        <v>#VALUE!</v>
      </c>
    </row>
    <row r="21" spans="1:17" x14ac:dyDescent="0.2">
      <c r="A21" s="4" t="s">
        <v>38</v>
      </c>
      <c r="B21" s="13">
        <v>1033187132</v>
      </c>
      <c r="C21" s="13">
        <v>955972391.55999994</v>
      </c>
      <c r="D21" s="13">
        <v>77214740.440000057</v>
      </c>
      <c r="E21" s="13">
        <v>22663062.120000001</v>
      </c>
      <c r="F21" s="13">
        <v>22862412</v>
      </c>
      <c r="G21" s="14">
        <v>3.38</v>
      </c>
      <c r="H21" s="14">
        <v>0.99</v>
      </c>
      <c r="I21" s="13">
        <v>1888588.51</v>
      </c>
      <c r="J21" s="15">
        <v>0</v>
      </c>
      <c r="K21" s="13">
        <v>77214740.440000057</v>
      </c>
      <c r="L21" s="13" t="s">
        <v>193</v>
      </c>
      <c r="M21" s="13" t="s">
        <v>193</v>
      </c>
      <c r="N21" s="197">
        <v>43922</v>
      </c>
      <c r="O21" s="16">
        <v>45748</v>
      </c>
      <c r="P21" s="13">
        <v>759443.4</v>
      </c>
      <c r="Q21" s="242" t="e">
        <v>#VALUE!</v>
      </c>
    </row>
    <row r="22" spans="1:17" x14ac:dyDescent="0.2">
      <c r="A22" s="4" t="s">
        <v>47</v>
      </c>
      <c r="B22" s="13">
        <v>190999038.36000001</v>
      </c>
      <c r="C22" s="13">
        <v>179108951.24000001</v>
      </c>
      <c r="D22" s="13">
        <v>11890087.120000005</v>
      </c>
      <c r="E22" s="13">
        <v>5901281.8899999997</v>
      </c>
      <c r="F22" s="13">
        <v>3551615</v>
      </c>
      <c r="G22" s="14">
        <v>3.35</v>
      </c>
      <c r="H22" s="14">
        <v>1.66</v>
      </c>
      <c r="I22" s="13">
        <v>491773.49083333329</v>
      </c>
      <c r="J22" s="15">
        <v>1</v>
      </c>
      <c r="K22" s="13">
        <v>11398313.629166672</v>
      </c>
      <c r="L22" s="13">
        <v>4786857.1200000048</v>
      </c>
      <c r="M22" s="13">
        <v>3011049.6200000048</v>
      </c>
      <c r="N22" s="197">
        <v>43647</v>
      </c>
      <c r="O22" s="16">
        <v>45839</v>
      </c>
      <c r="P22" s="13">
        <v>267782.84000000003</v>
      </c>
      <c r="Q22" s="242" t="e">
        <v>#VALUE!</v>
      </c>
    </row>
    <row r="23" spans="1:17" x14ac:dyDescent="0.2">
      <c r="A23" s="4" t="s">
        <v>19</v>
      </c>
      <c r="B23" s="13">
        <v>1468177330.9100001</v>
      </c>
      <c r="C23" s="13">
        <v>1370148793.9000001</v>
      </c>
      <c r="D23" s="13">
        <v>98028537.00999999</v>
      </c>
      <c r="E23" s="13">
        <v>46760270.869999997</v>
      </c>
      <c r="F23" s="13">
        <v>29748591</v>
      </c>
      <c r="G23" s="14">
        <v>3.3</v>
      </c>
      <c r="H23" s="14">
        <v>1.57</v>
      </c>
      <c r="I23" s="13">
        <v>3896689.2391666663</v>
      </c>
      <c r="J23" s="15">
        <v>1</v>
      </c>
      <c r="K23" s="13">
        <v>94131847.770833328</v>
      </c>
      <c r="L23" s="13">
        <v>38531355.00999999</v>
      </c>
      <c r="M23" s="13">
        <v>23657059.50999999</v>
      </c>
      <c r="N23" s="197">
        <v>43647</v>
      </c>
      <c r="O23" s="16">
        <v>45839</v>
      </c>
      <c r="P23" s="13">
        <v>6314976.1100000003</v>
      </c>
      <c r="Q23" s="242" t="e">
        <v>#VALUE!</v>
      </c>
    </row>
    <row r="24" spans="1:17" x14ac:dyDescent="0.2">
      <c r="A24" s="4" t="s">
        <v>28</v>
      </c>
      <c r="B24" s="13">
        <v>1083940953</v>
      </c>
      <c r="C24" s="13">
        <v>1004791516.49</v>
      </c>
      <c r="D24" s="13">
        <v>79149436.50999999</v>
      </c>
      <c r="E24" s="13">
        <v>19588017.039999999</v>
      </c>
      <c r="F24" s="13">
        <v>24208645</v>
      </c>
      <c r="G24" s="14">
        <v>3.27</v>
      </c>
      <c r="H24" s="14">
        <v>0.81</v>
      </c>
      <c r="I24" s="13">
        <v>1632334.7533333332</v>
      </c>
      <c r="J24" s="15">
        <v>7</v>
      </c>
      <c r="K24" s="13">
        <v>67723093.236666664</v>
      </c>
      <c r="L24" s="13">
        <v>4390306.6442857133</v>
      </c>
      <c r="M24" s="13">
        <v>2661117.7157142842</v>
      </c>
      <c r="N24" s="197">
        <v>43831</v>
      </c>
      <c r="O24" s="16">
        <v>46023</v>
      </c>
      <c r="P24" s="13">
        <v>568706.6</v>
      </c>
      <c r="Q24" s="242" t="e">
        <v>#VALUE!</v>
      </c>
    </row>
    <row r="25" spans="1:17" x14ac:dyDescent="0.2">
      <c r="A25" s="4" t="s">
        <v>37</v>
      </c>
      <c r="B25" s="13">
        <v>1263148065.8299999</v>
      </c>
      <c r="C25" s="13">
        <v>1186521285.6900001</v>
      </c>
      <c r="D25" s="13">
        <v>76626780.139999866</v>
      </c>
      <c r="E25" s="13">
        <v>17913683.149999999</v>
      </c>
      <c r="F25" s="13">
        <v>23759923</v>
      </c>
      <c r="G25" s="14">
        <v>3.23</v>
      </c>
      <c r="H25" s="14">
        <v>0.75</v>
      </c>
      <c r="I25" s="13">
        <v>1492806.9291666665</v>
      </c>
      <c r="J25" s="15">
        <v>1</v>
      </c>
      <c r="K25" s="13">
        <v>75133973.210833207</v>
      </c>
      <c r="L25" s="13">
        <v>29106934.139999866</v>
      </c>
      <c r="M25" s="13">
        <v>17226972.639999866</v>
      </c>
      <c r="N25" s="197">
        <v>43647</v>
      </c>
      <c r="O25" s="16">
        <v>45839</v>
      </c>
      <c r="P25" s="13">
        <v>2527115.5299999998</v>
      </c>
      <c r="Q25" s="242" t="e">
        <v>#VALUE!</v>
      </c>
    </row>
    <row r="26" spans="1:17" x14ac:dyDescent="0.2">
      <c r="A26" s="4" t="s">
        <v>29</v>
      </c>
      <c r="B26" s="13">
        <v>689945660</v>
      </c>
      <c r="C26" s="13">
        <v>642083207.52999997</v>
      </c>
      <c r="D26" s="13">
        <v>47862452.470000029</v>
      </c>
      <c r="E26" s="13">
        <v>8890606.3200000003</v>
      </c>
      <c r="F26" s="13">
        <v>14901309</v>
      </c>
      <c r="G26" s="14">
        <v>3.21</v>
      </c>
      <c r="H26" s="14">
        <v>0.6</v>
      </c>
      <c r="I26" s="13">
        <v>740883.86</v>
      </c>
      <c r="J26" s="15">
        <v>7</v>
      </c>
      <c r="K26" s="13">
        <v>42676265.450000033</v>
      </c>
      <c r="L26" s="13">
        <v>2579976.3528571469</v>
      </c>
      <c r="M26" s="13">
        <v>1515597.1385714326</v>
      </c>
      <c r="N26" s="197">
        <v>43466</v>
      </c>
      <c r="O26" s="16">
        <v>46023</v>
      </c>
      <c r="P26" s="13">
        <v>921734.98</v>
      </c>
      <c r="Q26" s="242" t="e">
        <v>#VALUE!</v>
      </c>
    </row>
    <row r="27" spans="1:17" x14ac:dyDescent="0.2">
      <c r="A27" s="4" t="s">
        <v>21</v>
      </c>
      <c r="B27" s="13">
        <v>542289730.02999997</v>
      </c>
      <c r="C27" s="13">
        <v>497948888.54000002</v>
      </c>
      <c r="D27" s="13">
        <v>44340841.48999995</v>
      </c>
      <c r="E27" s="13">
        <v>7768023.8099999996</v>
      </c>
      <c r="F27" s="13">
        <v>13960891</v>
      </c>
      <c r="G27" s="14">
        <v>3.18</v>
      </c>
      <c r="H27" s="14">
        <v>0.56000000000000005</v>
      </c>
      <c r="I27" s="13">
        <v>647335.3175</v>
      </c>
      <c r="J27" s="15">
        <v>1</v>
      </c>
      <c r="K27" s="13">
        <v>43693506.172499947</v>
      </c>
      <c r="L27" s="13">
        <v>16419059.48999995</v>
      </c>
      <c r="M27" s="13">
        <v>9438613.9899999499</v>
      </c>
      <c r="N27" s="197">
        <v>43647</v>
      </c>
      <c r="O27" s="16">
        <v>45839</v>
      </c>
      <c r="P27" s="13">
        <v>0</v>
      </c>
      <c r="Q27" s="242" t="e">
        <v>#VALUE!</v>
      </c>
    </row>
    <row r="28" spans="1:17" x14ac:dyDescent="0.2">
      <c r="A28" s="4" t="s">
        <v>33</v>
      </c>
      <c r="B28" s="13">
        <v>321862947.48000002</v>
      </c>
      <c r="C28" s="13">
        <v>298290288.51999998</v>
      </c>
      <c r="D28" s="13">
        <v>23572658.960000038</v>
      </c>
      <c r="E28" s="13">
        <v>8826380.8900000006</v>
      </c>
      <c r="F28" s="13">
        <v>7416560</v>
      </c>
      <c r="G28" s="14">
        <v>3.18</v>
      </c>
      <c r="H28" s="14">
        <v>1.19</v>
      </c>
      <c r="I28" s="13">
        <v>735531.74083333334</v>
      </c>
      <c r="J28" s="15">
        <v>1</v>
      </c>
      <c r="K28" s="13">
        <v>22837127.219166704</v>
      </c>
      <c r="L28" s="13">
        <v>8739538.9600000381</v>
      </c>
      <c r="M28" s="13">
        <v>5031258.9600000381</v>
      </c>
      <c r="N28" s="197">
        <v>43647</v>
      </c>
      <c r="O28" s="16">
        <v>45839</v>
      </c>
      <c r="P28" s="13">
        <v>909667.54</v>
      </c>
      <c r="Q28" s="242" t="e">
        <v>#VALUE!</v>
      </c>
    </row>
    <row r="29" spans="1:17" x14ac:dyDescent="0.2">
      <c r="A29" s="4" t="s">
        <v>45</v>
      </c>
      <c r="B29" s="13">
        <v>1276422533.53</v>
      </c>
      <c r="C29" s="13">
        <v>1125425443.49</v>
      </c>
      <c r="D29" s="13">
        <v>150997090.03999996</v>
      </c>
      <c r="E29" s="13">
        <v>40220380.329999998</v>
      </c>
      <c r="F29" s="13">
        <v>47644860</v>
      </c>
      <c r="G29" s="14">
        <v>3.17</v>
      </c>
      <c r="H29" s="14">
        <v>0.84</v>
      </c>
      <c r="I29" s="13">
        <v>3351698.3608333333</v>
      </c>
      <c r="J29" s="15">
        <v>7</v>
      </c>
      <c r="K29" s="13">
        <v>127535201.51416662</v>
      </c>
      <c r="L29" s="13">
        <v>7958195.7199999942</v>
      </c>
      <c r="M29" s="13">
        <v>4554991.4342857087</v>
      </c>
      <c r="N29" s="197">
        <v>43831</v>
      </c>
      <c r="O29" s="16">
        <v>46023</v>
      </c>
      <c r="P29" s="13">
        <v>4099520.76</v>
      </c>
      <c r="Q29" s="242" t="e">
        <v>#VALUE!</v>
      </c>
    </row>
    <row r="30" spans="1:17" x14ac:dyDescent="0.2">
      <c r="A30" s="4" t="s">
        <v>24</v>
      </c>
      <c r="B30" s="13">
        <v>1683242657.0699999</v>
      </c>
      <c r="C30" s="13">
        <v>1554090481.52</v>
      </c>
      <c r="D30" s="13">
        <v>129152175.54999995</v>
      </c>
      <c r="E30" s="13">
        <v>32124354.649999999</v>
      </c>
      <c r="F30" s="13">
        <v>40945091</v>
      </c>
      <c r="G30" s="14">
        <v>3.15</v>
      </c>
      <c r="H30" s="14">
        <v>0.78</v>
      </c>
      <c r="I30" s="13">
        <v>2677029.5541666667</v>
      </c>
      <c r="J30" s="15">
        <v>1</v>
      </c>
      <c r="K30" s="13">
        <v>126475145.99583329</v>
      </c>
      <c r="L30" s="13">
        <v>47261993.549999952</v>
      </c>
      <c r="M30" s="13">
        <v>26789448.049999952</v>
      </c>
      <c r="N30" s="197">
        <v>43647</v>
      </c>
      <c r="O30" s="16">
        <v>45839</v>
      </c>
      <c r="P30" s="13">
        <v>1058115.1200000001</v>
      </c>
      <c r="Q30" s="242" t="e">
        <v>#VALUE!</v>
      </c>
    </row>
    <row r="31" spans="1:17" x14ac:dyDescent="0.2">
      <c r="A31" s="4" t="s">
        <v>51</v>
      </c>
      <c r="B31" s="13">
        <v>2041893568.29</v>
      </c>
      <c r="C31" s="13">
        <v>1914768492.1500001</v>
      </c>
      <c r="D31" s="13">
        <v>127125076.13999987</v>
      </c>
      <c r="E31" s="13">
        <v>40812976.850000001</v>
      </c>
      <c r="F31" s="13">
        <v>40828727</v>
      </c>
      <c r="G31" s="14">
        <v>3.11</v>
      </c>
      <c r="H31" s="14">
        <v>1</v>
      </c>
      <c r="I31" s="13">
        <v>3401081.4041666668</v>
      </c>
      <c r="J31" s="15">
        <v>7</v>
      </c>
      <c r="K31" s="13">
        <v>103317506.3108332</v>
      </c>
      <c r="L31" s="13">
        <v>6495374.5914285528</v>
      </c>
      <c r="M31" s="13">
        <v>3579036.9485714096</v>
      </c>
      <c r="N31" s="197">
        <v>43831</v>
      </c>
      <c r="O31" s="16">
        <v>46023</v>
      </c>
      <c r="P31" s="13">
        <v>2140165.75</v>
      </c>
      <c r="Q31" s="242" t="e">
        <v>#VALUE!</v>
      </c>
    </row>
    <row r="32" spans="1:17" x14ac:dyDescent="0.2">
      <c r="A32" s="4" t="s">
        <v>18</v>
      </c>
      <c r="B32" s="13">
        <v>817050825.05999994</v>
      </c>
      <c r="C32" s="13">
        <v>762779361.65999997</v>
      </c>
      <c r="D32" s="13">
        <v>54271463.399999976</v>
      </c>
      <c r="E32" s="13">
        <v>28740681.949999999</v>
      </c>
      <c r="F32" s="13">
        <v>17644408</v>
      </c>
      <c r="G32" s="14">
        <v>3.08</v>
      </c>
      <c r="H32" s="14">
        <v>1.63</v>
      </c>
      <c r="I32" s="13">
        <v>2395056.8291666666</v>
      </c>
      <c r="J32" s="15">
        <v>1</v>
      </c>
      <c r="K32" s="13">
        <v>51876406.57083331</v>
      </c>
      <c r="L32" s="13">
        <v>18982647.399999976</v>
      </c>
      <c r="M32" s="13">
        <v>10160443.399999976</v>
      </c>
      <c r="N32" s="197">
        <v>43647</v>
      </c>
      <c r="O32" s="16">
        <v>45839</v>
      </c>
      <c r="P32" s="13">
        <v>3208628.76</v>
      </c>
      <c r="Q32" s="242" t="e">
        <v>#VALUE!</v>
      </c>
    </row>
    <row r="33" spans="1:17" x14ac:dyDescent="0.2">
      <c r="A33" s="4" t="s">
        <v>55</v>
      </c>
      <c r="B33" s="13">
        <v>259883413</v>
      </c>
      <c r="C33" s="13">
        <v>243099732.75</v>
      </c>
      <c r="D33" s="13">
        <v>16783680.25</v>
      </c>
      <c r="E33" s="13">
        <v>7717405.2699999996</v>
      </c>
      <c r="F33" s="13">
        <v>5643956</v>
      </c>
      <c r="G33" s="14">
        <v>2.97</v>
      </c>
      <c r="H33" s="14">
        <v>1.37</v>
      </c>
      <c r="I33" s="13">
        <v>643117.10583333333</v>
      </c>
      <c r="J33" s="15">
        <v>7</v>
      </c>
      <c r="K33" s="13">
        <v>12281860.509166665</v>
      </c>
      <c r="L33" s="13">
        <v>785109.75</v>
      </c>
      <c r="M33" s="13" t="s">
        <v>192</v>
      </c>
      <c r="N33" s="197">
        <v>43831</v>
      </c>
      <c r="O33" s="16">
        <v>46023</v>
      </c>
      <c r="P33" s="13">
        <v>435986.96</v>
      </c>
      <c r="Q33" s="242" t="e">
        <v>#VALUE!</v>
      </c>
    </row>
    <row r="34" spans="1:17" x14ac:dyDescent="0.2">
      <c r="A34" s="4" t="s">
        <v>56</v>
      </c>
      <c r="B34" s="13">
        <v>1182377479</v>
      </c>
      <c r="C34" s="13">
        <v>1101644189.8699999</v>
      </c>
      <c r="D34" s="13">
        <v>80733289.130000114</v>
      </c>
      <c r="E34" s="13">
        <v>22252114.670000002</v>
      </c>
      <c r="F34" s="13">
        <v>27472066</v>
      </c>
      <c r="G34" s="14">
        <v>2.94</v>
      </c>
      <c r="H34" s="14">
        <v>0.81</v>
      </c>
      <c r="I34" s="13">
        <v>1854342.8891666669</v>
      </c>
      <c r="J34" s="15">
        <v>1</v>
      </c>
      <c r="K34" s="13">
        <v>78878946.240833446</v>
      </c>
      <c r="L34" s="13">
        <v>25789157.130000114</v>
      </c>
      <c r="M34" s="13">
        <v>12053124.130000114</v>
      </c>
      <c r="N34" s="197">
        <v>43647</v>
      </c>
      <c r="O34" s="16">
        <v>45839</v>
      </c>
      <c r="P34" s="13">
        <v>2491547.4900000002</v>
      </c>
      <c r="Q34" s="242" t="e">
        <v>#VALUE!</v>
      </c>
    </row>
    <row r="35" spans="1:17" x14ac:dyDescent="0.2">
      <c r="A35" s="4" t="s">
        <v>61</v>
      </c>
      <c r="B35" s="13">
        <v>535148479</v>
      </c>
      <c r="C35" s="13">
        <v>499099610.29000002</v>
      </c>
      <c r="D35" s="13">
        <v>36048868.709999979</v>
      </c>
      <c r="E35" s="13">
        <v>10007554.66</v>
      </c>
      <c r="F35" s="13">
        <v>13099382</v>
      </c>
      <c r="G35" s="14">
        <v>2.75</v>
      </c>
      <c r="H35" s="14">
        <v>0.76</v>
      </c>
      <c r="I35" s="13">
        <v>833962.88833333331</v>
      </c>
      <c r="J35" s="15">
        <v>1</v>
      </c>
      <c r="K35" s="13">
        <v>35214905.821666643</v>
      </c>
      <c r="L35" s="13">
        <v>9850104.7099999785</v>
      </c>
      <c r="M35" s="13">
        <v>3300413.7099999785</v>
      </c>
      <c r="N35" s="197">
        <v>43647</v>
      </c>
      <c r="O35" s="16">
        <v>45839</v>
      </c>
      <c r="P35" s="13">
        <v>1150170.05</v>
      </c>
      <c r="Q35" s="242" t="e">
        <v>#VALUE!</v>
      </c>
    </row>
    <row r="36" spans="1:17" x14ac:dyDescent="0.2">
      <c r="A36" s="4" t="s">
        <v>42</v>
      </c>
      <c r="B36" s="13">
        <v>355494147</v>
      </c>
      <c r="C36" s="13">
        <v>330158573.80000001</v>
      </c>
      <c r="D36" s="13">
        <v>25335573.199999988</v>
      </c>
      <c r="E36" s="13">
        <v>8253475</v>
      </c>
      <c r="F36" s="13">
        <v>9435207</v>
      </c>
      <c r="G36" s="14">
        <v>2.69</v>
      </c>
      <c r="H36" s="14">
        <v>0.87</v>
      </c>
      <c r="I36" s="13">
        <v>687789.58333333337</v>
      </c>
      <c r="J36" s="15">
        <v>7</v>
      </c>
      <c r="K36" s="13">
        <v>20521046.116666652</v>
      </c>
      <c r="L36" s="13">
        <v>923594.17142856971</v>
      </c>
      <c r="M36" s="13" t="s">
        <v>192</v>
      </c>
      <c r="N36" s="197">
        <v>43831</v>
      </c>
      <c r="O36" s="16">
        <v>46023</v>
      </c>
      <c r="P36" s="13">
        <v>783772.19</v>
      </c>
      <c r="Q36" s="242" t="e">
        <v>#VALUE!</v>
      </c>
    </row>
    <row r="37" spans="1:17" x14ac:dyDescent="0.2">
      <c r="A37" s="4" t="s">
        <v>27</v>
      </c>
      <c r="B37" s="13">
        <v>1340428223.5599999</v>
      </c>
      <c r="C37" s="13">
        <v>1259549290.29</v>
      </c>
      <c r="D37" s="13">
        <v>80878933.269999981</v>
      </c>
      <c r="E37" s="13">
        <v>22526563.73</v>
      </c>
      <c r="F37" s="13">
        <v>30689455</v>
      </c>
      <c r="G37" s="14">
        <v>2.64</v>
      </c>
      <c r="H37" s="14">
        <v>0.73</v>
      </c>
      <c r="I37" s="13">
        <v>1877213.6441666668</v>
      </c>
      <c r="J37" s="15">
        <v>1</v>
      </c>
      <c r="K37" s="13">
        <v>79001719.625833318</v>
      </c>
      <c r="L37" s="13">
        <v>19500023.269999981</v>
      </c>
      <c r="M37" s="13">
        <v>4155295.7699999809</v>
      </c>
      <c r="N37" s="197">
        <v>43647</v>
      </c>
      <c r="O37" s="16">
        <v>45839</v>
      </c>
      <c r="P37" s="13">
        <v>3237207.53</v>
      </c>
      <c r="Q37" s="242" t="e">
        <v>#VALUE!</v>
      </c>
    </row>
    <row r="38" spans="1:17" x14ac:dyDescent="0.2">
      <c r="A38" s="4" t="s">
        <v>57</v>
      </c>
      <c r="B38" s="13">
        <v>2950491414.54</v>
      </c>
      <c r="C38" s="13">
        <v>2763955579.1799998</v>
      </c>
      <c r="D38" s="13">
        <v>186535835.36000013</v>
      </c>
      <c r="E38" s="13">
        <v>65325114.710000001</v>
      </c>
      <c r="F38" s="13">
        <v>71178309</v>
      </c>
      <c r="G38" s="14">
        <v>2.62</v>
      </c>
      <c r="H38" s="14">
        <v>0.92</v>
      </c>
      <c r="I38" s="13">
        <v>5443759.5591666671</v>
      </c>
      <c r="J38" s="15">
        <v>3</v>
      </c>
      <c r="K38" s="13">
        <v>170204556.68250012</v>
      </c>
      <c r="L38" s="13">
        <v>14726405.786666712</v>
      </c>
      <c r="M38" s="13" t="s">
        <v>192</v>
      </c>
      <c r="N38" s="197">
        <v>44075</v>
      </c>
      <c r="O38" s="16">
        <v>45901</v>
      </c>
      <c r="P38" s="13">
        <v>7302633.2599999998</v>
      </c>
      <c r="Q38" s="242" t="e">
        <v>#VALUE!</v>
      </c>
    </row>
    <row r="39" spans="1:17" x14ac:dyDescent="0.2">
      <c r="A39" s="4" t="s">
        <v>15</v>
      </c>
      <c r="B39" s="13">
        <v>1108314599.5</v>
      </c>
      <c r="C39" s="13">
        <v>1050159241.61</v>
      </c>
      <c r="D39" s="13">
        <v>58155357.889999986</v>
      </c>
      <c r="E39" s="13">
        <v>21151891.050000001</v>
      </c>
      <c r="F39" s="13">
        <v>23039495</v>
      </c>
      <c r="G39" s="14">
        <v>2.52</v>
      </c>
      <c r="H39" s="14">
        <v>0.92</v>
      </c>
      <c r="I39" s="13">
        <v>1762657.5875000001</v>
      </c>
      <c r="J39" s="15">
        <v>0</v>
      </c>
      <c r="K39" s="13">
        <v>58155357.889999986</v>
      </c>
      <c r="L39" s="13" t="s">
        <v>193</v>
      </c>
      <c r="M39" s="13" t="s">
        <v>193</v>
      </c>
      <c r="N39" s="197">
        <v>43556</v>
      </c>
      <c r="O39" s="16">
        <v>45748</v>
      </c>
      <c r="P39" s="13">
        <v>1926916.77</v>
      </c>
      <c r="Q39" s="242" t="e">
        <v>#VALUE!</v>
      </c>
    </row>
    <row r="40" spans="1:17" x14ac:dyDescent="0.2">
      <c r="A40" s="4" t="s">
        <v>31</v>
      </c>
      <c r="B40" s="13">
        <v>1227877221</v>
      </c>
      <c r="C40" s="13">
        <v>1172272521.9200001</v>
      </c>
      <c r="D40" s="13">
        <v>55604699.079999924</v>
      </c>
      <c r="E40" s="13">
        <v>19711352.170000002</v>
      </c>
      <c r="F40" s="13">
        <v>22761731</v>
      </c>
      <c r="G40" s="14">
        <v>2.44</v>
      </c>
      <c r="H40" s="14">
        <v>0.87</v>
      </c>
      <c r="I40" s="13">
        <v>1642612.6808333334</v>
      </c>
      <c r="J40" s="15">
        <v>0</v>
      </c>
      <c r="K40" s="13">
        <v>55604699.079999924</v>
      </c>
      <c r="L40" s="13" t="s">
        <v>193</v>
      </c>
      <c r="M40" s="13" t="s">
        <v>192</v>
      </c>
      <c r="N40" s="197">
        <v>43922</v>
      </c>
      <c r="O40" s="16">
        <v>45748</v>
      </c>
      <c r="P40" s="13">
        <v>1114586.24</v>
      </c>
      <c r="Q40" s="242" t="e">
        <v>#VALUE!</v>
      </c>
    </row>
    <row r="41" spans="1:17" x14ac:dyDescent="0.2">
      <c r="A41" s="4" t="s">
        <v>25</v>
      </c>
      <c r="B41" s="13">
        <v>351543186.45999998</v>
      </c>
      <c r="C41" s="13">
        <v>330698602.50999999</v>
      </c>
      <c r="D41" s="13">
        <v>20844583.949999988</v>
      </c>
      <c r="E41" s="13">
        <v>6708336.25</v>
      </c>
      <c r="F41" s="13">
        <v>8658249</v>
      </c>
      <c r="G41" s="14">
        <v>2.41</v>
      </c>
      <c r="H41" s="14">
        <v>0.77</v>
      </c>
      <c r="I41" s="13">
        <v>559028.02083333337</v>
      </c>
      <c r="J41" s="15">
        <v>0</v>
      </c>
      <c r="K41" s="13">
        <v>20844583.949999988</v>
      </c>
      <c r="L41" s="13" t="s">
        <v>193</v>
      </c>
      <c r="M41" s="13" t="s">
        <v>192</v>
      </c>
      <c r="N41" s="197">
        <v>43556</v>
      </c>
      <c r="O41" s="16">
        <v>45748</v>
      </c>
      <c r="P41" s="13">
        <v>691233.83</v>
      </c>
      <c r="Q41" s="242" t="e">
        <v>#VALUE!</v>
      </c>
    </row>
    <row r="42" spans="1:17" x14ac:dyDescent="0.2">
      <c r="A42" s="4" t="s">
        <v>59</v>
      </c>
      <c r="B42" s="13">
        <v>285086766</v>
      </c>
      <c r="C42" s="13">
        <v>267339633</v>
      </c>
      <c r="D42" s="13">
        <v>17747133</v>
      </c>
      <c r="E42" s="13">
        <v>6732508.9699999997</v>
      </c>
      <c r="F42" s="13">
        <v>7485780</v>
      </c>
      <c r="G42" s="14">
        <v>2.37</v>
      </c>
      <c r="H42" s="14">
        <v>0.9</v>
      </c>
      <c r="I42" s="13">
        <v>561042.41416666668</v>
      </c>
      <c r="J42" s="15">
        <v>1</v>
      </c>
      <c r="K42" s="13">
        <v>17186090.585833333</v>
      </c>
      <c r="L42" s="13">
        <v>2775573</v>
      </c>
      <c r="M42" s="13" t="s">
        <v>192</v>
      </c>
      <c r="N42" s="197">
        <v>43647</v>
      </c>
      <c r="O42" s="16">
        <v>45839</v>
      </c>
      <c r="P42" s="13">
        <v>130076</v>
      </c>
      <c r="Q42" s="242" t="e">
        <v>#VALUE!</v>
      </c>
    </row>
    <row r="43" spans="1:17" x14ac:dyDescent="0.2">
      <c r="A43" s="4" t="s">
        <v>49</v>
      </c>
      <c r="B43" s="13">
        <v>699328036.19000006</v>
      </c>
      <c r="C43" s="13">
        <v>669547486.75</v>
      </c>
      <c r="D43" s="13">
        <v>29780549.440000057</v>
      </c>
      <c r="E43" s="13">
        <v>12591587.119999999</v>
      </c>
      <c r="F43" s="13">
        <v>14024709</v>
      </c>
      <c r="G43" s="14">
        <v>2.12</v>
      </c>
      <c r="H43" s="14">
        <v>0.9</v>
      </c>
      <c r="I43" s="13">
        <v>1049298.9266666665</v>
      </c>
      <c r="J43" s="15">
        <v>0</v>
      </c>
      <c r="K43" s="13">
        <v>29780549.440000057</v>
      </c>
      <c r="L43" s="13" t="s">
        <v>193</v>
      </c>
      <c r="M43" s="13" t="s">
        <v>192</v>
      </c>
      <c r="N43" s="197">
        <v>43922</v>
      </c>
      <c r="O43" s="16">
        <v>45748</v>
      </c>
      <c r="P43" s="13">
        <v>634306.43000000005</v>
      </c>
      <c r="Q43" s="242" t="e">
        <v>#VALUE!</v>
      </c>
    </row>
    <row r="44" spans="1:17" x14ac:dyDescent="0.2">
      <c r="A44" s="4" t="s">
        <v>50</v>
      </c>
      <c r="B44" s="13">
        <v>557171086.30999994</v>
      </c>
      <c r="C44" s="13">
        <v>532433473.91000003</v>
      </c>
      <c r="D44" s="13">
        <v>24737612.399999917</v>
      </c>
      <c r="E44" s="13">
        <v>16795228.600000001</v>
      </c>
      <c r="F44" s="13">
        <v>11761407</v>
      </c>
      <c r="G44" s="14">
        <v>2.1</v>
      </c>
      <c r="H44" s="14">
        <v>1.43</v>
      </c>
      <c r="I44" s="13">
        <v>1399602.3833333335</v>
      </c>
      <c r="J44" s="15">
        <v>7</v>
      </c>
      <c r="K44" s="13">
        <v>14940395.716666581</v>
      </c>
      <c r="L44" s="13" t="s">
        <v>192</v>
      </c>
      <c r="M44" s="13" t="s">
        <v>192</v>
      </c>
      <c r="N44" s="197">
        <v>43831</v>
      </c>
      <c r="O44" s="16">
        <v>46023</v>
      </c>
      <c r="P44" s="13">
        <v>621824</v>
      </c>
      <c r="Q44" s="242" t="e">
        <v>#VALUE!</v>
      </c>
    </row>
    <row r="45" spans="1:17" x14ac:dyDescent="0.2">
      <c r="A45" s="4" t="s">
        <v>34</v>
      </c>
      <c r="B45" s="13">
        <v>1428807757.99</v>
      </c>
      <c r="C45" s="13">
        <v>1356855464.5799999</v>
      </c>
      <c r="D45" s="13">
        <v>71952293.410000086</v>
      </c>
      <c r="E45" s="13">
        <v>48787094.509999998</v>
      </c>
      <c r="F45" s="13">
        <v>34424780</v>
      </c>
      <c r="G45" s="14">
        <v>2.09</v>
      </c>
      <c r="H45" s="14">
        <v>1.42</v>
      </c>
      <c r="I45" s="13">
        <v>4065591.2091666665</v>
      </c>
      <c r="J45" s="15">
        <v>0</v>
      </c>
      <c r="K45" s="13">
        <v>71952293.410000086</v>
      </c>
      <c r="L45" s="13" t="s">
        <v>193</v>
      </c>
      <c r="M45" s="13" t="s">
        <v>192</v>
      </c>
      <c r="N45" s="197">
        <v>43922</v>
      </c>
      <c r="O45" s="16">
        <v>45748</v>
      </c>
      <c r="P45" s="13">
        <v>2198786.7799999998</v>
      </c>
      <c r="Q45" s="242" t="e">
        <v>#VALUE!</v>
      </c>
    </row>
    <row r="46" spans="1:17" x14ac:dyDescent="0.2">
      <c r="A46" s="4" t="s">
        <v>48</v>
      </c>
      <c r="B46" s="13">
        <v>1985336227.8699999</v>
      </c>
      <c r="C46" s="13">
        <v>1891543844.47</v>
      </c>
      <c r="D46" s="13">
        <v>93792383.399999857</v>
      </c>
      <c r="E46" s="13">
        <v>43484506.020000003</v>
      </c>
      <c r="F46" s="13">
        <v>45588088</v>
      </c>
      <c r="G46" s="14">
        <v>2.06</v>
      </c>
      <c r="H46" s="14">
        <v>0.95</v>
      </c>
      <c r="I46" s="13">
        <v>3623708.8350000004</v>
      </c>
      <c r="J46" s="15">
        <v>1</v>
      </c>
      <c r="K46" s="13">
        <v>90168674.564999864</v>
      </c>
      <c r="L46" s="13" t="s">
        <v>192</v>
      </c>
      <c r="M46" s="13" t="s">
        <v>192</v>
      </c>
      <c r="N46" s="197">
        <v>43647</v>
      </c>
      <c r="O46" s="16">
        <v>45839</v>
      </c>
      <c r="P46" s="13">
        <v>3138818.16</v>
      </c>
      <c r="Q46" s="242" t="e">
        <v>#VALUE!</v>
      </c>
    </row>
    <row r="47" spans="1:17" x14ac:dyDescent="0.2">
      <c r="A47" s="4" t="s">
        <v>63</v>
      </c>
      <c r="B47" s="13">
        <v>1110426785</v>
      </c>
      <c r="C47" s="13">
        <v>1054649263.04</v>
      </c>
      <c r="D47" s="13">
        <v>55777521.960000038</v>
      </c>
      <c r="E47" s="13">
        <v>22716995.440000001</v>
      </c>
      <c r="F47" s="13">
        <v>27485501</v>
      </c>
      <c r="G47" s="14">
        <v>2.0299999999999998</v>
      </c>
      <c r="H47" s="14">
        <v>0.83</v>
      </c>
      <c r="I47" s="13">
        <v>1893082.9533333334</v>
      </c>
      <c r="J47" s="15">
        <v>0</v>
      </c>
      <c r="K47" s="13">
        <v>55777521.960000038</v>
      </c>
      <c r="L47" s="13" t="s">
        <v>193</v>
      </c>
      <c r="M47" s="13" t="s">
        <v>192</v>
      </c>
      <c r="N47" s="197">
        <v>43922</v>
      </c>
      <c r="O47" s="16">
        <v>45748</v>
      </c>
      <c r="P47" s="13">
        <v>2035879.48</v>
      </c>
      <c r="Q47" s="242" t="e">
        <v>#VALUE!</v>
      </c>
    </row>
    <row r="48" spans="1:17" x14ac:dyDescent="0.2">
      <c r="A48" s="4" t="s">
        <v>32</v>
      </c>
      <c r="B48" s="13">
        <v>509113932</v>
      </c>
      <c r="C48" s="13">
        <v>486402817.39999998</v>
      </c>
      <c r="D48" s="13">
        <v>22711114.600000024</v>
      </c>
      <c r="E48" s="13">
        <v>11208475.369999999</v>
      </c>
      <c r="F48" s="13">
        <v>11867952</v>
      </c>
      <c r="G48" s="14">
        <v>1.91</v>
      </c>
      <c r="H48" s="14">
        <v>0.94</v>
      </c>
      <c r="I48" s="13">
        <v>934039.61416666664</v>
      </c>
      <c r="J48" s="15">
        <v>7</v>
      </c>
      <c r="K48" s="13">
        <v>16172837.300833357</v>
      </c>
      <c r="L48" s="13" t="s">
        <v>192</v>
      </c>
      <c r="M48" s="13" t="s">
        <v>192</v>
      </c>
      <c r="N48" s="197">
        <v>43831</v>
      </c>
      <c r="O48" s="16">
        <v>46023</v>
      </c>
      <c r="P48" s="13">
        <v>1092136.4099999999</v>
      </c>
      <c r="Q48" s="242" t="e">
        <v>#VALUE!</v>
      </c>
    </row>
    <row r="49" spans="1:17" x14ac:dyDescent="0.2">
      <c r="A49" s="4" t="s">
        <v>41</v>
      </c>
      <c r="B49" s="13">
        <v>101611843</v>
      </c>
      <c r="C49" s="13">
        <v>96103461.560000002</v>
      </c>
      <c r="D49" s="13">
        <v>5508381.4399999976</v>
      </c>
      <c r="E49" s="13">
        <v>3487228.46</v>
      </c>
      <c r="F49" s="13">
        <v>2910779</v>
      </c>
      <c r="G49" s="14">
        <v>1.89</v>
      </c>
      <c r="H49" s="14">
        <v>1.2</v>
      </c>
      <c r="I49" s="13">
        <v>290602.37166666664</v>
      </c>
      <c r="J49" s="15">
        <v>1</v>
      </c>
      <c r="K49" s="13">
        <v>5217779.0683333306</v>
      </c>
      <c r="L49" s="13" t="s">
        <v>192</v>
      </c>
      <c r="M49" s="13" t="s">
        <v>192</v>
      </c>
      <c r="N49" s="197">
        <v>43647</v>
      </c>
      <c r="O49" s="16">
        <v>45839</v>
      </c>
      <c r="P49" s="13">
        <v>583963.48</v>
      </c>
      <c r="Q49" s="242" t="e">
        <v>#VALUE!</v>
      </c>
    </row>
    <row r="50" spans="1:17" x14ac:dyDescent="0.2">
      <c r="A50" s="4" t="s">
        <v>17</v>
      </c>
      <c r="B50" s="13">
        <v>398824318</v>
      </c>
      <c r="C50" s="13">
        <v>381305290.11000001</v>
      </c>
      <c r="D50" s="13">
        <v>17519027.889999986</v>
      </c>
      <c r="E50" s="13">
        <v>11321607.9</v>
      </c>
      <c r="F50" s="13">
        <v>9664284</v>
      </c>
      <c r="G50" s="14">
        <v>1.81</v>
      </c>
      <c r="H50" s="14">
        <v>1.17</v>
      </c>
      <c r="I50" s="13">
        <v>943467.32500000007</v>
      </c>
      <c r="J50" s="15">
        <v>1</v>
      </c>
      <c r="K50" s="13">
        <v>16575560.564999986</v>
      </c>
      <c r="L50" s="13" t="s">
        <v>192</v>
      </c>
      <c r="M50" s="13" t="s">
        <v>192</v>
      </c>
      <c r="N50" s="197">
        <v>43647</v>
      </c>
      <c r="O50" s="16">
        <v>45839</v>
      </c>
      <c r="P50" s="13">
        <v>1085036.01</v>
      </c>
      <c r="Q50" s="242" t="e">
        <v>#VALUE!</v>
      </c>
    </row>
    <row r="51" spans="1:17" x14ac:dyDescent="0.2">
      <c r="A51" s="4" t="s">
        <v>58</v>
      </c>
      <c r="B51" s="13">
        <v>243764651</v>
      </c>
      <c r="C51" s="13">
        <v>234261753.13999999</v>
      </c>
      <c r="D51" s="13">
        <v>9502897.8600000143</v>
      </c>
      <c r="E51" s="13">
        <v>4692396.4400000004</v>
      </c>
      <c r="F51" s="13">
        <v>5561418</v>
      </c>
      <c r="G51" s="14">
        <v>1.71</v>
      </c>
      <c r="H51" s="14">
        <v>0.84</v>
      </c>
      <c r="I51" s="13">
        <v>391033.03666666668</v>
      </c>
      <c r="J51" s="15">
        <v>1</v>
      </c>
      <c r="K51" s="13">
        <v>9111864.8233333472</v>
      </c>
      <c r="L51" s="13" t="s">
        <v>192</v>
      </c>
      <c r="M51" s="13" t="s">
        <v>192</v>
      </c>
      <c r="N51" s="197">
        <v>43647</v>
      </c>
      <c r="O51" s="16">
        <v>45839</v>
      </c>
      <c r="P51" s="13">
        <v>88226.21</v>
      </c>
      <c r="Q51" s="242" t="e">
        <v>#VALUE!</v>
      </c>
    </row>
    <row r="52" spans="1:17" x14ac:dyDescent="0.2">
      <c r="A52" s="4" t="s">
        <v>22</v>
      </c>
      <c r="B52" s="13">
        <v>78247436</v>
      </c>
      <c r="C52" s="13">
        <v>74511097.980000004</v>
      </c>
      <c r="D52" s="18">
        <v>3736338.0199999958</v>
      </c>
      <c r="E52" s="13">
        <v>2661604.88</v>
      </c>
      <c r="F52" s="13">
        <v>2776815</v>
      </c>
      <c r="G52" s="14">
        <v>1.35</v>
      </c>
      <c r="H52" s="14">
        <v>0.96</v>
      </c>
      <c r="I52" s="18">
        <v>221800.40666666665</v>
      </c>
      <c r="J52" s="15">
        <v>1</v>
      </c>
      <c r="K52" s="18">
        <v>3514537.6133333291</v>
      </c>
      <c r="L52" s="18" t="s">
        <v>192</v>
      </c>
      <c r="M52" s="18" t="s">
        <v>192</v>
      </c>
      <c r="N52" s="198">
        <v>43647</v>
      </c>
      <c r="O52" s="16">
        <v>45839</v>
      </c>
      <c r="P52" s="13">
        <v>9644.41</v>
      </c>
      <c r="Q52" s="242" t="e">
        <v>#VALUE!</v>
      </c>
    </row>
    <row r="53" spans="1:17" x14ac:dyDescent="0.25">
      <c r="A53" s="36" t="s">
        <v>65</v>
      </c>
      <c r="B53" s="33">
        <v>44036420836.440002</v>
      </c>
      <c r="C53" s="13">
        <v>40769439668.160004</v>
      </c>
      <c r="D53" s="33">
        <v>3266981168.2799988</v>
      </c>
      <c r="E53" s="13">
        <v>949234881.38</v>
      </c>
      <c r="F53" s="13">
        <v>983785270</v>
      </c>
      <c r="G53" s="14">
        <v>3.32</v>
      </c>
      <c r="H53" s="14">
        <v>0.96</v>
      </c>
      <c r="I53" s="33">
        <v>79102906.781666666</v>
      </c>
      <c r="J53" s="34"/>
      <c r="K53" s="35"/>
      <c r="L53" s="35"/>
      <c r="M53" s="35"/>
      <c r="N53" s="35"/>
      <c r="O53" s="35"/>
      <c r="P53" s="33">
        <v>77718599.810000017</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37</v>
      </c>
      <c r="H56" s="25"/>
    </row>
    <row r="57" spans="1:17" ht="27" customHeight="1" thickBot="1" x14ac:dyDescent="0.3">
      <c r="D57" s="248" t="s">
        <v>67</v>
      </c>
      <c r="E57" s="249"/>
      <c r="F57" s="249"/>
      <c r="G57" s="27"/>
      <c r="H57" s="28">
        <v>34</v>
      </c>
    </row>
  </sheetData>
  <mergeCells count="2">
    <mergeCell ref="D56:F56"/>
    <mergeCell ref="D57:F57"/>
  </mergeCells>
  <conditionalFormatting sqref="G54">
    <cfRule type="cellIs" dxfId="181" priority="13" stopIfTrue="1" operator="greaterThan">
      <formula>2.5</formula>
    </cfRule>
    <cfRule type="cellIs" dxfId="180" priority="14" stopIfTrue="1" operator="between">
      <formula>2.01</formula>
      <formula>2.5</formula>
    </cfRule>
  </conditionalFormatting>
  <conditionalFormatting sqref="H3:H53">
    <cfRule type="cellIs" dxfId="179" priority="12" stopIfTrue="1" operator="lessThan">
      <formula>1</formula>
    </cfRule>
  </conditionalFormatting>
  <conditionalFormatting sqref="G3:G53">
    <cfRule type="cellIs" dxfId="178" priority="10" stopIfTrue="1" operator="greaterThan">
      <formula>2.5</formula>
    </cfRule>
    <cfRule type="cellIs" dxfId="177" priority="11" stopIfTrue="1" operator="between">
      <formula>2.01</formula>
      <formula>2.5</formula>
    </cfRule>
  </conditionalFormatting>
  <conditionalFormatting sqref="K3:K52">
    <cfRule type="cellIs" dxfId="176" priority="8" stopIfTrue="1" operator="greaterThan">
      <formula>$F3*2.5</formula>
    </cfRule>
    <cfRule type="cellIs" dxfId="175" priority="9" stopIfTrue="1" operator="between">
      <formula>$F3*2</formula>
      <formula>$F3*2.5</formula>
    </cfRule>
  </conditionalFormatting>
  <conditionalFormatting sqref="G54">
    <cfRule type="cellIs" dxfId="174" priority="6" stopIfTrue="1" operator="greaterThan">
      <formula>2.5</formula>
    </cfRule>
    <cfRule type="cellIs" dxfId="173" priority="7" stopIfTrue="1" operator="between">
      <formula>2.01</formula>
      <formula>2.5</formula>
    </cfRule>
  </conditionalFormatting>
  <conditionalFormatting sqref="H3:H53">
    <cfRule type="cellIs" dxfId="172" priority="5" stopIfTrue="1" operator="lessThan">
      <formula>1</formula>
    </cfRule>
  </conditionalFormatting>
  <conditionalFormatting sqref="G3:G53">
    <cfRule type="cellIs" dxfId="171" priority="3" stopIfTrue="1" operator="greaterThan">
      <formula>2.5</formula>
    </cfRule>
    <cfRule type="cellIs" dxfId="170" priority="4" stopIfTrue="1" operator="between">
      <formula>2.01</formula>
      <formula>2.5</formula>
    </cfRule>
  </conditionalFormatting>
  <conditionalFormatting sqref="K3:K52">
    <cfRule type="cellIs" dxfId="169" priority="1" stopIfTrue="1" operator="greaterThan">
      <formula>$F3*2.5</formula>
    </cfRule>
    <cfRule type="cellIs" dxfId="168"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D704C-F813-47BF-ACD0-49490B03F083}">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298</v>
      </c>
      <c r="B1" s="196" t="s">
        <v>299</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1161972037.8499999</v>
      </c>
      <c r="C3" s="13">
        <v>1009058031.05</v>
      </c>
      <c r="D3" s="13">
        <v>152914006.79999995</v>
      </c>
      <c r="E3" s="13">
        <v>22900934.800000001</v>
      </c>
      <c r="F3" s="13">
        <v>24581601</v>
      </c>
      <c r="G3" s="14">
        <v>6.22</v>
      </c>
      <c r="H3" s="14">
        <v>0.93</v>
      </c>
      <c r="I3" s="13">
        <v>1908411.2333333334</v>
      </c>
      <c r="J3" s="15">
        <v>0</v>
      </c>
      <c r="K3" s="13">
        <v>152914006.79999995</v>
      </c>
      <c r="L3" s="13" t="s">
        <v>193</v>
      </c>
      <c r="M3" s="13" t="s">
        <v>193</v>
      </c>
      <c r="N3" s="197">
        <v>43647</v>
      </c>
      <c r="O3" s="16">
        <v>45839</v>
      </c>
      <c r="P3" s="13">
        <v>743930.03</v>
      </c>
      <c r="Q3" s="243" t="e">
        <v>#VALUE!</v>
      </c>
    </row>
    <row r="4" spans="1:17" x14ac:dyDescent="0.2">
      <c r="A4" s="4" t="s">
        <v>62</v>
      </c>
      <c r="B4" s="13">
        <v>722479384.32000005</v>
      </c>
      <c r="C4" s="13">
        <v>646750834.75</v>
      </c>
      <c r="D4" s="13">
        <v>75728549.570000052</v>
      </c>
      <c r="E4" s="13">
        <v>10779780.02</v>
      </c>
      <c r="F4" s="13">
        <v>13783001</v>
      </c>
      <c r="G4" s="14">
        <v>5.49</v>
      </c>
      <c r="H4" s="14">
        <v>0.78</v>
      </c>
      <c r="I4" s="13">
        <v>898315.00166666659</v>
      </c>
      <c r="J4" s="15">
        <v>0</v>
      </c>
      <c r="K4" s="13">
        <v>75728549.570000052</v>
      </c>
      <c r="L4" s="13" t="s">
        <v>193</v>
      </c>
      <c r="M4" s="13" t="s">
        <v>193</v>
      </c>
      <c r="N4" s="197">
        <v>43647</v>
      </c>
      <c r="O4" s="16">
        <v>45839</v>
      </c>
      <c r="P4" s="13">
        <v>387153.43</v>
      </c>
      <c r="Q4" s="242" t="e">
        <v>#VALUE!</v>
      </c>
    </row>
    <row r="5" spans="1:17" x14ac:dyDescent="0.2">
      <c r="A5" s="4" t="s">
        <v>46</v>
      </c>
      <c r="B5" s="13">
        <v>1834758280.3599999</v>
      </c>
      <c r="C5" s="13">
        <v>1587891455.1800001</v>
      </c>
      <c r="D5" s="13">
        <v>246866825.17999983</v>
      </c>
      <c r="E5" s="13">
        <v>43607005.939999998</v>
      </c>
      <c r="F5" s="13">
        <v>46162390</v>
      </c>
      <c r="G5" s="14">
        <v>5.35</v>
      </c>
      <c r="H5" s="14">
        <v>0.94</v>
      </c>
      <c r="I5" s="13">
        <v>3633917.1616666666</v>
      </c>
      <c r="J5" s="15">
        <v>6</v>
      </c>
      <c r="K5" s="13">
        <v>225063322.20999983</v>
      </c>
      <c r="L5" s="13">
        <v>25757007.529999971</v>
      </c>
      <c r="M5" s="13">
        <v>21910141.696666639</v>
      </c>
      <c r="N5" s="197">
        <v>43831</v>
      </c>
      <c r="O5" s="16">
        <v>46023</v>
      </c>
      <c r="P5" s="13">
        <v>4813617.58</v>
      </c>
      <c r="Q5" s="242" t="e">
        <v>#VALUE!</v>
      </c>
    </row>
    <row r="6" spans="1:17" x14ac:dyDescent="0.2">
      <c r="A6" s="4" t="s">
        <v>35</v>
      </c>
      <c r="B6" s="13">
        <v>1503333344.97</v>
      </c>
      <c r="C6" s="13">
        <v>1321172056.3499999</v>
      </c>
      <c r="D6" s="13">
        <v>182161288.62000012</v>
      </c>
      <c r="E6" s="13">
        <v>22475092.48</v>
      </c>
      <c r="F6" s="13">
        <v>34090474</v>
      </c>
      <c r="G6" s="14">
        <v>5.34</v>
      </c>
      <c r="H6" s="14">
        <v>0.66</v>
      </c>
      <c r="I6" s="13">
        <v>1872924.3733333333</v>
      </c>
      <c r="J6" s="15">
        <v>0</v>
      </c>
      <c r="K6" s="13">
        <v>182161288.62000012</v>
      </c>
      <c r="L6" s="13" t="s">
        <v>193</v>
      </c>
      <c r="M6" s="13" t="s">
        <v>193</v>
      </c>
      <c r="N6" s="197">
        <v>43647</v>
      </c>
      <c r="O6" s="16">
        <v>45839</v>
      </c>
      <c r="P6" s="13">
        <v>591233.89</v>
      </c>
      <c r="Q6" s="242" t="e">
        <v>#VALUE!</v>
      </c>
    </row>
    <row r="7" spans="1:17" x14ac:dyDescent="0.2">
      <c r="A7" s="4" t="s">
        <v>44</v>
      </c>
      <c r="B7" s="13">
        <v>504504813</v>
      </c>
      <c r="C7" s="13">
        <v>458533361.48000002</v>
      </c>
      <c r="D7" s="13">
        <v>45971451.519999981</v>
      </c>
      <c r="E7" s="13">
        <v>11531614.439999999</v>
      </c>
      <c r="F7" s="13">
        <v>10946097</v>
      </c>
      <c r="G7" s="14">
        <v>4.2</v>
      </c>
      <c r="H7" s="14">
        <v>1.05</v>
      </c>
      <c r="I7" s="13">
        <v>960967.87</v>
      </c>
      <c r="J7" s="15">
        <v>6</v>
      </c>
      <c r="K7" s="13">
        <v>40205644.299999982</v>
      </c>
      <c r="L7" s="13">
        <v>4013209.5866666636</v>
      </c>
      <c r="M7" s="13">
        <v>3101034.8366666636</v>
      </c>
      <c r="N7" s="197">
        <v>43831</v>
      </c>
      <c r="O7" s="16">
        <v>46023</v>
      </c>
      <c r="P7" s="13">
        <v>183627.61</v>
      </c>
      <c r="Q7" s="242" t="e">
        <v>#VALUE!</v>
      </c>
    </row>
    <row r="8" spans="1:17" x14ac:dyDescent="0.2">
      <c r="A8" s="4" t="s">
        <v>64</v>
      </c>
      <c r="B8" s="13">
        <v>124445693.39</v>
      </c>
      <c r="C8" s="13">
        <v>109598447.56</v>
      </c>
      <c r="D8" s="13">
        <v>14847245.829999998</v>
      </c>
      <c r="E8" s="13">
        <v>5141991.54</v>
      </c>
      <c r="F8" s="13">
        <v>3545933</v>
      </c>
      <c r="G8" s="14">
        <v>4.1900000000000004</v>
      </c>
      <c r="H8" s="14">
        <v>1.45</v>
      </c>
      <c r="I8" s="13">
        <v>428499.29499999998</v>
      </c>
      <c r="J8" s="15">
        <v>6</v>
      </c>
      <c r="K8" s="13">
        <v>12276250.059999999</v>
      </c>
      <c r="L8" s="13">
        <v>1292563.3049999997</v>
      </c>
      <c r="M8" s="13">
        <v>997068.88833333307</v>
      </c>
      <c r="N8" s="197">
        <v>43831</v>
      </c>
      <c r="O8" s="16">
        <v>46023</v>
      </c>
      <c r="P8" s="13">
        <v>60599.51</v>
      </c>
      <c r="Q8" s="242" t="e">
        <v>#VALUE!</v>
      </c>
    </row>
    <row r="9" spans="1:17" x14ac:dyDescent="0.2">
      <c r="A9" s="4" t="s">
        <v>36</v>
      </c>
      <c r="B9" s="13">
        <v>872347192</v>
      </c>
      <c r="C9" s="13">
        <v>794261309.60000002</v>
      </c>
      <c r="D9" s="13">
        <v>78085882.399999976</v>
      </c>
      <c r="E9" s="13">
        <v>17287576.140000001</v>
      </c>
      <c r="F9" s="13">
        <v>19090913</v>
      </c>
      <c r="G9" s="14">
        <v>4.09</v>
      </c>
      <c r="H9" s="14">
        <v>0.91</v>
      </c>
      <c r="I9" s="13">
        <v>1440631.345</v>
      </c>
      <c r="J9" s="15">
        <v>3</v>
      </c>
      <c r="K9" s="13">
        <v>73763988.36499998</v>
      </c>
      <c r="L9" s="13">
        <v>13301352.133333325</v>
      </c>
      <c r="M9" s="13">
        <v>10119533.299999991</v>
      </c>
      <c r="N9" s="197">
        <v>43739</v>
      </c>
      <c r="O9" s="16">
        <v>45931</v>
      </c>
      <c r="P9" s="13">
        <v>1498671.03</v>
      </c>
      <c r="Q9" s="242" t="e">
        <v>#VALUE!</v>
      </c>
    </row>
    <row r="10" spans="1:17" x14ac:dyDescent="0.2">
      <c r="A10" s="4" t="s">
        <v>30</v>
      </c>
      <c r="B10" s="13">
        <v>1194714205.73</v>
      </c>
      <c r="C10" s="13">
        <v>1086800636.95</v>
      </c>
      <c r="D10" s="13">
        <v>107913568.77999997</v>
      </c>
      <c r="E10" s="13">
        <v>22060944.870000001</v>
      </c>
      <c r="F10" s="13">
        <v>26571929</v>
      </c>
      <c r="G10" s="14">
        <v>4.0599999999999996</v>
      </c>
      <c r="H10" s="14">
        <v>0.83</v>
      </c>
      <c r="I10" s="13">
        <v>1838412.0725</v>
      </c>
      <c r="J10" s="15">
        <v>0</v>
      </c>
      <c r="K10" s="13">
        <v>107913568.77999997</v>
      </c>
      <c r="L10" s="13" t="s">
        <v>193</v>
      </c>
      <c r="M10" s="13" t="s">
        <v>193</v>
      </c>
      <c r="N10" s="197">
        <v>43647</v>
      </c>
      <c r="O10" s="16">
        <v>45839</v>
      </c>
      <c r="P10" s="13">
        <v>1660249</v>
      </c>
      <c r="Q10" s="242" t="e">
        <v>#VALUE!</v>
      </c>
    </row>
    <row r="11" spans="1:17" x14ac:dyDescent="0.2">
      <c r="A11" s="4" t="s">
        <v>52</v>
      </c>
      <c r="B11" s="13">
        <v>1966895481</v>
      </c>
      <c r="C11" s="13">
        <v>1878382798.6300001</v>
      </c>
      <c r="D11" s="13">
        <v>88512682.369999886</v>
      </c>
      <c r="E11" s="13">
        <v>21499986.25</v>
      </c>
      <c r="F11" s="13">
        <v>21788490</v>
      </c>
      <c r="G11" s="14">
        <v>4.0599999999999996</v>
      </c>
      <c r="H11" s="14">
        <v>0.99</v>
      </c>
      <c r="I11" s="13">
        <v>1791665.5208333333</v>
      </c>
      <c r="J11" s="15">
        <v>0</v>
      </c>
      <c r="K11" s="13">
        <v>88512682.369999886</v>
      </c>
      <c r="L11" s="13" t="s">
        <v>193</v>
      </c>
      <c r="M11" s="13" t="s">
        <v>193</v>
      </c>
      <c r="N11" s="197">
        <v>43647</v>
      </c>
      <c r="O11" s="16">
        <v>45839</v>
      </c>
      <c r="P11" s="13">
        <v>1438686.42</v>
      </c>
      <c r="Q11" s="242" t="e">
        <v>#VALUE!</v>
      </c>
    </row>
    <row r="12" spans="1:17" x14ac:dyDescent="0.2">
      <c r="A12" s="4" t="s">
        <v>40</v>
      </c>
      <c r="B12" s="13">
        <v>511163315.91000003</v>
      </c>
      <c r="C12" s="13">
        <v>468219559.33999997</v>
      </c>
      <c r="D12" s="13">
        <v>42943756.570000052</v>
      </c>
      <c r="E12" s="13">
        <v>6777143.7999999998</v>
      </c>
      <c r="F12" s="13">
        <v>10598087</v>
      </c>
      <c r="G12" s="14">
        <v>4.05</v>
      </c>
      <c r="H12" s="14">
        <v>0.64</v>
      </c>
      <c r="I12" s="13">
        <v>564761.98333333328</v>
      </c>
      <c r="J12" s="15">
        <v>0</v>
      </c>
      <c r="K12" s="13">
        <v>42943756.570000052</v>
      </c>
      <c r="L12" s="13" t="s">
        <v>193</v>
      </c>
      <c r="M12" s="13" t="s">
        <v>193</v>
      </c>
      <c r="N12" s="197">
        <v>43647</v>
      </c>
      <c r="O12" s="16">
        <v>45839</v>
      </c>
      <c r="P12" s="13">
        <v>444569.43</v>
      </c>
      <c r="Q12" s="242" t="e">
        <v>#VALUE!</v>
      </c>
    </row>
    <row r="13" spans="1:17" x14ac:dyDescent="0.2">
      <c r="A13" s="4" t="s">
        <v>60</v>
      </c>
      <c r="B13" s="13">
        <v>813673223</v>
      </c>
      <c r="C13" s="13">
        <v>735066989.62</v>
      </c>
      <c r="D13" s="13">
        <v>78606233.379999995</v>
      </c>
      <c r="E13" s="13">
        <v>12345257.49</v>
      </c>
      <c r="F13" s="13">
        <v>19453948</v>
      </c>
      <c r="G13" s="14">
        <v>4.04</v>
      </c>
      <c r="H13" s="14">
        <v>0.63</v>
      </c>
      <c r="I13" s="13">
        <v>1028771.4575</v>
      </c>
      <c r="J13" s="15">
        <v>0</v>
      </c>
      <c r="K13" s="13">
        <v>78606233.379999995</v>
      </c>
      <c r="L13" s="13" t="s">
        <v>193</v>
      </c>
      <c r="M13" s="13" t="s">
        <v>193</v>
      </c>
      <c r="N13" s="197">
        <v>43647</v>
      </c>
      <c r="O13" s="16">
        <v>45839</v>
      </c>
      <c r="P13" s="13">
        <v>1748771.46</v>
      </c>
      <c r="Q13" s="242" t="e">
        <v>#VALUE!</v>
      </c>
    </row>
    <row r="14" spans="1:17" x14ac:dyDescent="0.2">
      <c r="A14" s="4" t="s">
        <v>26</v>
      </c>
      <c r="B14" s="13">
        <v>1365257298.0599999</v>
      </c>
      <c r="C14" s="13">
        <v>1249076674.76</v>
      </c>
      <c r="D14" s="13">
        <v>116180623.29999995</v>
      </c>
      <c r="E14" s="13">
        <v>57336463.579999998</v>
      </c>
      <c r="F14" s="13">
        <v>28988172</v>
      </c>
      <c r="G14" s="14">
        <v>4.01</v>
      </c>
      <c r="H14" s="14">
        <v>1.98</v>
      </c>
      <c r="I14" s="13">
        <v>4778038.6316666668</v>
      </c>
      <c r="J14" s="15">
        <v>6</v>
      </c>
      <c r="K14" s="13">
        <v>87512391.509999961</v>
      </c>
      <c r="L14" s="13">
        <v>9700713.2166666593</v>
      </c>
      <c r="M14" s="13">
        <v>7285032.2166666584</v>
      </c>
      <c r="N14" s="197">
        <v>43831</v>
      </c>
      <c r="O14" s="16">
        <v>46023</v>
      </c>
      <c r="P14" s="13">
        <v>2780867.15</v>
      </c>
      <c r="Q14" s="242" t="e">
        <v>#VALUE!</v>
      </c>
    </row>
    <row r="15" spans="1:17" x14ac:dyDescent="0.2">
      <c r="A15" s="4" t="s">
        <v>39</v>
      </c>
      <c r="B15" s="13">
        <v>271317340</v>
      </c>
      <c r="C15" s="13">
        <v>248154893.91</v>
      </c>
      <c r="D15" s="13">
        <v>23162446.090000004</v>
      </c>
      <c r="E15" s="13">
        <v>7728494.79</v>
      </c>
      <c r="F15" s="13">
        <v>6196840</v>
      </c>
      <c r="G15" s="14">
        <v>3.74</v>
      </c>
      <c r="H15" s="14">
        <v>1.25</v>
      </c>
      <c r="I15" s="13">
        <v>644041.23250000004</v>
      </c>
      <c r="J15" s="15">
        <v>9</v>
      </c>
      <c r="K15" s="13">
        <v>17366074.997500002</v>
      </c>
      <c r="L15" s="13">
        <v>1196529.565555556</v>
      </c>
      <c r="M15" s="13">
        <v>852260.6766666671</v>
      </c>
      <c r="N15" s="197">
        <v>43922</v>
      </c>
      <c r="O15" s="16">
        <v>46113</v>
      </c>
      <c r="P15" s="13">
        <v>470759.15</v>
      </c>
      <c r="Q15" s="242" t="e">
        <v>#VALUE!</v>
      </c>
    </row>
    <row r="16" spans="1:17" x14ac:dyDescent="0.2">
      <c r="A16" s="4" t="s">
        <v>53</v>
      </c>
      <c r="B16" s="13">
        <v>208940278.25</v>
      </c>
      <c r="C16" s="13">
        <v>187649626.08000001</v>
      </c>
      <c r="D16" s="13">
        <v>21290652.169999987</v>
      </c>
      <c r="E16" s="13">
        <v>7742212.4299999997</v>
      </c>
      <c r="F16" s="13">
        <v>5755637</v>
      </c>
      <c r="G16" s="14">
        <v>3.7</v>
      </c>
      <c r="H16" s="14">
        <v>1.35</v>
      </c>
      <c r="I16" s="13">
        <v>645184.36916666664</v>
      </c>
      <c r="J16" s="15">
        <v>0</v>
      </c>
      <c r="K16" s="13">
        <v>21290652.169999987</v>
      </c>
      <c r="L16" s="13" t="s">
        <v>193</v>
      </c>
      <c r="M16" s="13" t="s">
        <v>193</v>
      </c>
      <c r="N16" s="197">
        <v>43647</v>
      </c>
      <c r="O16" s="16">
        <v>45839</v>
      </c>
      <c r="P16" s="13">
        <v>0</v>
      </c>
      <c r="Q16" s="242" t="e">
        <v>#VALUE!</v>
      </c>
    </row>
    <row r="17" spans="1:17" x14ac:dyDescent="0.2">
      <c r="A17" s="4" t="s">
        <v>16</v>
      </c>
      <c r="B17" s="13">
        <v>107063879</v>
      </c>
      <c r="C17" s="13">
        <v>97261620.599999994</v>
      </c>
      <c r="D17" s="13">
        <v>9802258.400000006</v>
      </c>
      <c r="E17" s="13">
        <v>1909227.54</v>
      </c>
      <c r="F17" s="13">
        <v>2669761</v>
      </c>
      <c r="G17" s="14">
        <v>3.67</v>
      </c>
      <c r="H17" s="14">
        <v>0.72</v>
      </c>
      <c r="I17" s="13">
        <v>159102.29500000001</v>
      </c>
      <c r="J17" s="15">
        <v>0</v>
      </c>
      <c r="K17" s="13">
        <v>9802258.400000006</v>
      </c>
      <c r="L17" s="13" t="s">
        <v>193</v>
      </c>
      <c r="M17" s="13" t="s">
        <v>193</v>
      </c>
      <c r="N17" s="197">
        <v>43647</v>
      </c>
      <c r="O17" s="16">
        <v>45839</v>
      </c>
      <c r="P17" s="13">
        <v>29185.94</v>
      </c>
      <c r="Q17" s="242" t="e">
        <v>#VALUE!</v>
      </c>
    </row>
    <row r="18" spans="1:17" x14ac:dyDescent="0.2">
      <c r="A18" s="4" t="s">
        <v>43</v>
      </c>
      <c r="B18" s="13">
        <v>307409614.24000001</v>
      </c>
      <c r="C18" s="13">
        <v>282349391.45999998</v>
      </c>
      <c r="D18" s="13">
        <v>25060222.780000031</v>
      </c>
      <c r="E18" s="13">
        <v>4509252.93</v>
      </c>
      <c r="F18" s="13">
        <v>6878551</v>
      </c>
      <c r="G18" s="14">
        <v>3.64</v>
      </c>
      <c r="H18" s="14">
        <v>0.66</v>
      </c>
      <c r="I18" s="13">
        <v>375771.07749999996</v>
      </c>
      <c r="J18" s="15">
        <v>0</v>
      </c>
      <c r="K18" s="13">
        <v>25060222.780000031</v>
      </c>
      <c r="L18" s="13" t="s">
        <v>193</v>
      </c>
      <c r="M18" s="13" t="s">
        <v>193</v>
      </c>
      <c r="N18" s="197">
        <v>43647</v>
      </c>
      <c r="O18" s="16">
        <v>45839</v>
      </c>
      <c r="P18" s="13">
        <v>63809.120000000003</v>
      </c>
      <c r="Q18" s="242" t="e">
        <v>#VALUE!</v>
      </c>
    </row>
    <row r="19" spans="1:17" x14ac:dyDescent="0.2">
      <c r="A19" s="4" t="s">
        <v>54</v>
      </c>
      <c r="B19" s="13">
        <v>1042589157.45</v>
      </c>
      <c r="C19" s="13">
        <v>970890377.20000005</v>
      </c>
      <c r="D19" s="13">
        <v>71698780.25</v>
      </c>
      <c r="E19" s="13">
        <v>19832109.16</v>
      </c>
      <c r="F19" s="13">
        <v>20158365</v>
      </c>
      <c r="G19" s="14">
        <v>3.56</v>
      </c>
      <c r="H19" s="14">
        <v>0.98</v>
      </c>
      <c r="I19" s="13">
        <v>1652675.7633333334</v>
      </c>
      <c r="J19" s="15">
        <v>9</v>
      </c>
      <c r="K19" s="13">
        <v>56824698.379999995</v>
      </c>
      <c r="L19" s="13">
        <v>3486894.472222222</v>
      </c>
      <c r="M19" s="13">
        <v>2366985.3055555555</v>
      </c>
      <c r="N19" s="197">
        <v>43922</v>
      </c>
      <c r="O19" s="16">
        <v>46113</v>
      </c>
      <c r="P19" s="13">
        <v>1528789</v>
      </c>
      <c r="Q19" s="242" t="e">
        <v>#VALUE!</v>
      </c>
    </row>
    <row r="20" spans="1:17" x14ac:dyDescent="0.2">
      <c r="A20" s="4" t="s">
        <v>20</v>
      </c>
      <c r="B20" s="13">
        <v>402118853.93000001</v>
      </c>
      <c r="C20" s="13">
        <v>369451794.64999998</v>
      </c>
      <c r="D20" s="13">
        <v>32667059.280000031</v>
      </c>
      <c r="E20" s="13">
        <v>6639968.3099999996</v>
      </c>
      <c r="F20" s="13">
        <v>9522686</v>
      </c>
      <c r="G20" s="14">
        <v>3.43</v>
      </c>
      <c r="H20" s="14">
        <v>0.7</v>
      </c>
      <c r="I20" s="13">
        <v>553330.6925</v>
      </c>
      <c r="J20" s="15">
        <v>9</v>
      </c>
      <c r="K20" s="13">
        <v>27687083.047500029</v>
      </c>
      <c r="L20" s="13">
        <v>1513520.8088888924</v>
      </c>
      <c r="M20" s="13">
        <v>984482.69777778117</v>
      </c>
      <c r="N20" s="197">
        <v>43556</v>
      </c>
      <c r="O20" s="16">
        <v>46113</v>
      </c>
      <c r="P20" s="13">
        <v>205701.71</v>
      </c>
      <c r="Q20" s="242" t="e">
        <v>#VALUE!</v>
      </c>
    </row>
    <row r="21" spans="1:17" x14ac:dyDescent="0.2">
      <c r="A21" s="4" t="s">
        <v>38</v>
      </c>
      <c r="B21" s="13">
        <v>1033187132</v>
      </c>
      <c r="C21" s="13">
        <v>957122951.54999995</v>
      </c>
      <c r="D21" s="13">
        <v>76064180.450000048</v>
      </c>
      <c r="E21" s="13">
        <v>22629375.100000001</v>
      </c>
      <c r="F21" s="13">
        <v>22862412</v>
      </c>
      <c r="G21" s="14">
        <v>3.33</v>
      </c>
      <c r="H21" s="14">
        <v>0.99</v>
      </c>
      <c r="I21" s="13">
        <v>1885781.2583333335</v>
      </c>
      <c r="J21" s="15">
        <v>9</v>
      </c>
      <c r="K21" s="13">
        <v>59092149.125000045</v>
      </c>
      <c r="L21" s="13">
        <v>3371039.6055555609</v>
      </c>
      <c r="M21" s="13">
        <v>2100905.6055555609</v>
      </c>
      <c r="N21" s="197">
        <v>43922</v>
      </c>
      <c r="O21" s="16">
        <v>46113</v>
      </c>
      <c r="P21" s="13">
        <v>1150559.99</v>
      </c>
      <c r="Q21" s="242" t="e">
        <v>#VALUE!</v>
      </c>
    </row>
    <row r="22" spans="1:17" x14ac:dyDescent="0.2">
      <c r="A22" s="4" t="s">
        <v>47</v>
      </c>
      <c r="B22" s="13">
        <v>190999038.36000001</v>
      </c>
      <c r="C22" s="13">
        <v>179600132.06999999</v>
      </c>
      <c r="D22" s="13">
        <v>11398906.290000021</v>
      </c>
      <c r="E22" s="13">
        <v>5777246.7699999996</v>
      </c>
      <c r="F22" s="13">
        <v>3551615</v>
      </c>
      <c r="G22" s="14">
        <v>3.21</v>
      </c>
      <c r="H22" s="14">
        <v>1.63</v>
      </c>
      <c r="I22" s="13">
        <v>481437.23083333328</v>
      </c>
      <c r="J22" s="15">
        <v>0</v>
      </c>
      <c r="K22" s="13">
        <v>11398906.290000021</v>
      </c>
      <c r="L22" s="13" t="s">
        <v>193</v>
      </c>
      <c r="M22" s="13" t="s">
        <v>193</v>
      </c>
      <c r="N22" s="197">
        <v>43647</v>
      </c>
      <c r="O22" s="16">
        <v>45839</v>
      </c>
      <c r="P22" s="13">
        <v>491180.83</v>
      </c>
      <c r="Q22" s="242" t="e">
        <v>#VALUE!</v>
      </c>
    </row>
    <row r="23" spans="1:17" x14ac:dyDescent="0.2">
      <c r="A23" s="4" t="s">
        <v>28</v>
      </c>
      <c r="B23" s="13">
        <v>1083940953</v>
      </c>
      <c r="C23" s="13">
        <v>1006670882.92</v>
      </c>
      <c r="D23" s="13">
        <v>77270070.080000043</v>
      </c>
      <c r="E23" s="13">
        <v>19386437.800000001</v>
      </c>
      <c r="F23" s="13">
        <v>24208645</v>
      </c>
      <c r="G23" s="14">
        <v>3.19</v>
      </c>
      <c r="H23" s="14">
        <v>0.8</v>
      </c>
      <c r="I23" s="13">
        <v>1615536.4833333334</v>
      </c>
      <c r="J23" s="15">
        <v>6</v>
      </c>
      <c r="K23" s="13">
        <v>67576851.180000037</v>
      </c>
      <c r="L23" s="13">
        <v>4808796.6800000072</v>
      </c>
      <c r="M23" s="13">
        <v>2791409.5966666737</v>
      </c>
      <c r="N23" s="197">
        <v>43831</v>
      </c>
      <c r="O23" s="16">
        <v>46023</v>
      </c>
      <c r="P23" s="13">
        <v>1879366.43</v>
      </c>
      <c r="Q23" s="242" t="e">
        <v>#VALUE!</v>
      </c>
    </row>
    <row r="24" spans="1:17" x14ac:dyDescent="0.2">
      <c r="A24" s="4" t="s">
        <v>29</v>
      </c>
      <c r="B24" s="13">
        <v>689945660</v>
      </c>
      <c r="C24" s="13">
        <v>642578103.62</v>
      </c>
      <c r="D24" s="13">
        <v>47367556.379999995</v>
      </c>
      <c r="E24" s="13">
        <v>9028561.3599999994</v>
      </c>
      <c r="F24" s="13">
        <v>14901309</v>
      </c>
      <c r="G24" s="14">
        <v>3.18</v>
      </c>
      <c r="H24" s="14">
        <v>0.61</v>
      </c>
      <c r="I24" s="13">
        <v>752380.11333333328</v>
      </c>
      <c r="J24" s="15">
        <v>6</v>
      </c>
      <c r="K24" s="13">
        <v>42853275.699999996</v>
      </c>
      <c r="L24" s="13">
        <v>2927489.7299999991</v>
      </c>
      <c r="M24" s="13">
        <v>1685713.9799999993</v>
      </c>
      <c r="N24" s="197">
        <v>43466</v>
      </c>
      <c r="O24" s="16">
        <v>46023</v>
      </c>
      <c r="P24" s="13">
        <v>494896.09</v>
      </c>
      <c r="Q24" s="242" t="e">
        <v>#VALUE!</v>
      </c>
    </row>
    <row r="25" spans="1:17" x14ac:dyDescent="0.2">
      <c r="A25" s="4" t="s">
        <v>33</v>
      </c>
      <c r="B25" s="13">
        <v>321862947.48000002</v>
      </c>
      <c r="C25" s="13">
        <v>298331380.38999999</v>
      </c>
      <c r="D25" s="13">
        <v>23531567.090000033</v>
      </c>
      <c r="E25" s="13">
        <v>8227209.8899999997</v>
      </c>
      <c r="F25" s="13">
        <v>7416560</v>
      </c>
      <c r="G25" s="14">
        <v>3.17</v>
      </c>
      <c r="H25" s="14">
        <v>1.1100000000000001</v>
      </c>
      <c r="I25" s="13">
        <v>685600.8241666666</v>
      </c>
      <c r="J25" s="15">
        <v>0</v>
      </c>
      <c r="K25" s="13">
        <v>23531567.090000033</v>
      </c>
      <c r="L25" s="13" t="s">
        <v>193</v>
      </c>
      <c r="M25" s="13" t="s">
        <v>193</v>
      </c>
      <c r="N25" s="197">
        <v>43647</v>
      </c>
      <c r="O25" s="16">
        <v>45839</v>
      </c>
      <c r="P25" s="13">
        <v>41091.870000000003</v>
      </c>
      <c r="Q25" s="242" t="e">
        <v>#VALUE!</v>
      </c>
    </row>
    <row r="26" spans="1:17" x14ac:dyDescent="0.2">
      <c r="A26" s="4" t="s">
        <v>19</v>
      </c>
      <c r="B26" s="13">
        <v>1468177330.9100001</v>
      </c>
      <c r="C26" s="13">
        <v>1374672057.6900001</v>
      </c>
      <c r="D26" s="13">
        <v>93505273.220000029</v>
      </c>
      <c r="E26" s="13">
        <v>47717441.640000001</v>
      </c>
      <c r="F26" s="13">
        <v>29748591</v>
      </c>
      <c r="G26" s="14">
        <v>3.14</v>
      </c>
      <c r="H26" s="14">
        <v>1.6</v>
      </c>
      <c r="I26" s="13">
        <v>3976453.47</v>
      </c>
      <c r="J26" s="15">
        <v>0</v>
      </c>
      <c r="K26" s="13">
        <v>93505273.220000029</v>
      </c>
      <c r="L26" s="13" t="s">
        <v>193</v>
      </c>
      <c r="M26" s="13" t="s">
        <v>193</v>
      </c>
      <c r="N26" s="197">
        <v>43647</v>
      </c>
      <c r="O26" s="16">
        <v>45839</v>
      </c>
      <c r="P26" s="13">
        <v>4523263.79</v>
      </c>
      <c r="Q26" s="242" t="e">
        <v>#VALUE!</v>
      </c>
    </row>
    <row r="27" spans="1:17" x14ac:dyDescent="0.2">
      <c r="A27" s="4" t="s">
        <v>37</v>
      </c>
      <c r="B27" s="13">
        <v>1263148065.8299999</v>
      </c>
      <c r="C27" s="13">
        <v>1188965685.6400001</v>
      </c>
      <c r="D27" s="13">
        <v>74182380.189999819</v>
      </c>
      <c r="E27" s="13">
        <v>19013331.52</v>
      </c>
      <c r="F27" s="13">
        <v>23759923</v>
      </c>
      <c r="G27" s="14">
        <v>3.12</v>
      </c>
      <c r="H27" s="14">
        <v>0.8</v>
      </c>
      <c r="I27" s="13">
        <v>1584444.2933333332</v>
      </c>
      <c r="J27" s="15">
        <v>0</v>
      </c>
      <c r="K27" s="13">
        <v>74182380.189999819</v>
      </c>
      <c r="L27" s="13" t="s">
        <v>193</v>
      </c>
      <c r="M27" s="13" t="s">
        <v>193</v>
      </c>
      <c r="N27" s="197">
        <v>43647</v>
      </c>
      <c r="O27" s="16">
        <v>45839</v>
      </c>
      <c r="P27" s="13">
        <v>2444399.9500000002</v>
      </c>
      <c r="Q27" s="242" t="e">
        <v>#VALUE!</v>
      </c>
    </row>
    <row r="28" spans="1:17" x14ac:dyDescent="0.2">
      <c r="A28" s="4" t="s">
        <v>45</v>
      </c>
      <c r="B28" s="13">
        <v>1276422533.53</v>
      </c>
      <c r="C28" s="13">
        <v>1127988965.48</v>
      </c>
      <c r="D28" s="13">
        <v>148433568.04999995</v>
      </c>
      <c r="E28" s="13">
        <v>41093778.899999999</v>
      </c>
      <c r="F28" s="13">
        <v>47644860</v>
      </c>
      <c r="G28" s="14">
        <v>3.12</v>
      </c>
      <c r="H28" s="14">
        <v>0.86</v>
      </c>
      <c r="I28" s="13">
        <v>3424481.5749999997</v>
      </c>
      <c r="J28" s="15">
        <v>6</v>
      </c>
      <c r="K28" s="13">
        <v>127886678.59999995</v>
      </c>
      <c r="L28" s="13">
        <v>8857308.0083333254</v>
      </c>
      <c r="M28" s="13">
        <v>4886903.0083333254</v>
      </c>
      <c r="N28" s="197">
        <v>43831</v>
      </c>
      <c r="O28" s="16">
        <v>46023</v>
      </c>
      <c r="P28" s="13">
        <v>2563521.9900000002</v>
      </c>
      <c r="Q28" s="242" t="e">
        <v>#VALUE!</v>
      </c>
    </row>
    <row r="29" spans="1:17" x14ac:dyDescent="0.2">
      <c r="A29" s="4" t="s">
        <v>24</v>
      </c>
      <c r="B29" s="13">
        <v>1683242657.0699999</v>
      </c>
      <c r="C29" s="13">
        <v>1555709963.47</v>
      </c>
      <c r="D29" s="13">
        <v>127532693.5999999</v>
      </c>
      <c r="E29" s="13">
        <v>31123512.629999999</v>
      </c>
      <c r="F29" s="13">
        <v>40945091</v>
      </c>
      <c r="G29" s="14">
        <v>3.11</v>
      </c>
      <c r="H29" s="14">
        <v>0.76</v>
      </c>
      <c r="I29" s="13">
        <v>2593626.0524999998</v>
      </c>
      <c r="J29" s="15">
        <v>0</v>
      </c>
      <c r="K29" s="13">
        <v>127532693.5999999</v>
      </c>
      <c r="L29" s="13" t="s">
        <v>193</v>
      </c>
      <c r="M29" s="13" t="s">
        <v>193</v>
      </c>
      <c r="N29" s="197">
        <v>43647</v>
      </c>
      <c r="O29" s="16">
        <v>45839</v>
      </c>
      <c r="P29" s="13">
        <v>1619481.95</v>
      </c>
      <c r="Q29" s="242" t="e">
        <v>#VALUE!</v>
      </c>
    </row>
    <row r="30" spans="1:17" x14ac:dyDescent="0.2">
      <c r="A30" s="4" t="s">
        <v>51</v>
      </c>
      <c r="B30" s="13">
        <v>2041893568.29</v>
      </c>
      <c r="C30" s="13">
        <v>1917118641.9400001</v>
      </c>
      <c r="D30" s="13">
        <v>124774926.3499999</v>
      </c>
      <c r="E30" s="13">
        <v>40904618.009999998</v>
      </c>
      <c r="F30" s="13">
        <v>40828727</v>
      </c>
      <c r="G30" s="14">
        <v>3.06</v>
      </c>
      <c r="H30" s="14">
        <v>1</v>
      </c>
      <c r="I30" s="13">
        <v>3408718.1675</v>
      </c>
      <c r="J30" s="15">
        <v>6</v>
      </c>
      <c r="K30" s="13">
        <v>104322617.34499991</v>
      </c>
      <c r="L30" s="13">
        <v>7186245.3916666508</v>
      </c>
      <c r="M30" s="13">
        <v>3783851.4749999843</v>
      </c>
      <c r="N30" s="197">
        <v>43831</v>
      </c>
      <c r="O30" s="16">
        <v>46023</v>
      </c>
      <c r="P30" s="13">
        <v>2350149.79</v>
      </c>
      <c r="Q30" s="242" t="e">
        <v>#VALUE!</v>
      </c>
    </row>
    <row r="31" spans="1:17" x14ac:dyDescent="0.2">
      <c r="A31" s="4" t="s">
        <v>18</v>
      </c>
      <c r="B31" s="13">
        <v>817050825.05999994</v>
      </c>
      <c r="C31" s="13">
        <v>764329888.75999999</v>
      </c>
      <c r="D31" s="13">
        <v>52720936.299999952</v>
      </c>
      <c r="E31" s="13">
        <v>26807112.43</v>
      </c>
      <c r="F31" s="13">
        <v>17644408</v>
      </c>
      <c r="G31" s="14">
        <v>2.99</v>
      </c>
      <c r="H31" s="14">
        <v>1.52</v>
      </c>
      <c r="I31" s="13">
        <v>2233926.0358333332</v>
      </c>
      <c r="J31" s="15">
        <v>0</v>
      </c>
      <c r="K31" s="13">
        <v>52720936.299999952</v>
      </c>
      <c r="L31" s="13" t="s">
        <v>193</v>
      </c>
      <c r="M31" s="13" t="s">
        <v>193</v>
      </c>
      <c r="N31" s="197">
        <v>43647</v>
      </c>
      <c r="O31" s="16">
        <v>45839</v>
      </c>
      <c r="P31" s="13">
        <v>1550527.1</v>
      </c>
      <c r="Q31" s="242" t="e">
        <v>#VALUE!</v>
      </c>
    </row>
    <row r="32" spans="1:17" x14ac:dyDescent="0.2">
      <c r="A32" s="4" t="s">
        <v>55</v>
      </c>
      <c r="B32" s="13">
        <v>259883413</v>
      </c>
      <c r="C32" s="13">
        <v>243099732.75</v>
      </c>
      <c r="D32" s="13">
        <v>16783680.25</v>
      </c>
      <c r="E32" s="13">
        <v>7717405.2699999996</v>
      </c>
      <c r="F32" s="13">
        <v>5643956</v>
      </c>
      <c r="G32" s="14">
        <v>2.97</v>
      </c>
      <c r="H32" s="14">
        <v>1.37</v>
      </c>
      <c r="I32" s="13">
        <v>643117.10583333333</v>
      </c>
      <c r="J32" s="15">
        <v>6</v>
      </c>
      <c r="K32" s="13">
        <v>12924977.615</v>
      </c>
      <c r="L32" s="13">
        <v>915961.375</v>
      </c>
      <c r="M32" s="13" t="s">
        <v>192</v>
      </c>
      <c r="N32" s="197">
        <v>43831</v>
      </c>
      <c r="O32" s="16">
        <v>46023</v>
      </c>
      <c r="P32" s="13">
        <v>0</v>
      </c>
      <c r="Q32" s="242" t="e">
        <v>#VALUE!</v>
      </c>
    </row>
    <row r="33" spans="1:17" x14ac:dyDescent="0.2">
      <c r="A33" s="4" t="s">
        <v>21</v>
      </c>
      <c r="B33" s="13">
        <v>542289730.02999997</v>
      </c>
      <c r="C33" s="13">
        <v>502461623.97000003</v>
      </c>
      <c r="D33" s="13">
        <v>39828106.059999943</v>
      </c>
      <c r="E33" s="13">
        <v>12280759.24</v>
      </c>
      <c r="F33" s="13">
        <v>13960891</v>
      </c>
      <c r="G33" s="14">
        <v>2.85</v>
      </c>
      <c r="H33" s="14">
        <v>0.88</v>
      </c>
      <c r="I33" s="13">
        <v>1023396.6033333334</v>
      </c>
      <c r="J33" s="15">
        <v>0</v>
      </c>
      <c r="K33" s="13">
        <v>39828106.059999943</v>
      </c>
      <c r="L33" s="13" t="s">
        <v>193</v>
      </c>
      <c r="M33" s="13" t="s">
        <v>193</v>
      </c>
      <c r="N33" s="197">
        <v>43647</v>
      </c>
      <c r="O33" s="16">
        <v>45839</v>
      </c>
      <c r="P33" s="13">
        <v>4512735.43</v>
      </c>
      <c r="Q33" s="242" t="e">
        <v>#VALUE!</v>
      </c>
    </row>
    <row r="34" spans="1:17" x14ac:dyDescent="0.2">
      <c r="A34" s="4" t="s">
        <v>56</v>
      </c>
      <c r="B34" s="13">
        <v>1182377479</v>
      </c>
      <c r="C34" s="13">
        <v>1105588425</v>
      </c>
      <c r="D34" s="13">
        <v>76789054</v>
      </c>
      <c r="E34" s="13">
        <v>23583511.420000002</v>
      </c>
      <c r="F34" s="13">
        <v>27472066</v>
      </c>
      <c r="G34" s="14">
        <v>2.8</v>
      </c>
      <c r="H34" s="14">
        <v>0.86</v>
      </c>
      <c r="I34" s="13">
        <v>1965292.6183333334</v>
      </c>
      <c r="J34" s="15">
        <v>0</v>
      </c>
      <c r="K34" s="13">
        <v>76789054</v>
      </c>
      <c r="L34" s="13" t="s">
        <v>193</v>
      </c>
      <c r="M34" s="13" t="s">
        <v>193</v>
      </c>
      <c r="N34" s="197">
        <v>43647</v>
      </c>
      <c r="O34" s="16">
        <v>45839</v>
      </c>
      <c r="P34" s="13">
        <v>3944235.13</v>
      </c>
      <c r="Q34" s="242" t="e">
        <v>#VALUE!</v>
      </c>
    </row>
    <row r="35" spans="1:17" x14ac:dyDescent="0.2">
      <c r="A35" s="4" t="s">
        <v>61</v>
      </c>
      <c r="B35" s="13">
        <v>535148479</v>
      </c>
      <c r="C35" s="13">
        <v>500188900.70999998</v>
      </c>
      <c r="D35" s="13">
        <v>34959578.290000021</v>
      </c>
      <c r="E35" s="13">
        <v>10895871.939999999</v>
      </c>
      <c r="F35" s="13">
        <v>13099382</v>
      </c>
      <c r="G35" s="14">
        <v>2.67</v>
      </c>
      <c r="H35" s="14">
        <v>0.83</v>
      </c>
      <c r="I35" s="13">
        <v>907989.32833333325</v>
      </c>
      <c r="J35" s="15">
        <v>0</v>
      </c>
      <c r="K35" s="13">
        <v>34959578.290000021</v>
      </c>
      <c r="L35" s="13" t="s">
        <v>193</v>
      </c>
      <c r="M35" s="13" t="s">
        <v>193</v>
      </c>
      <c r="N35" s="197">
        <v>43647</v>
      </c>
      <c r="O35" s="16">
        <v>45839</v>
      </c>
      <c r="P35" s="13">
        <v>1089290.42</v>
      </c>
      <c r="Q35" s="242" t="e">
        <v>#VALUE!</v>
      </c>
    </row>
    <row r="36" spans="1:17" x14ac:dyDescent="0.2">
      <c r="A36" s="4" t="s">
        <v>42</v>
      </c>
      <c r="B36" s="13">
        <v>355494147</v>
      </c>
      <c r="C36" s="13">
        <v>330781197.51999998</v>
      </c>
      <c r="D36" s="13">
        <v>24712949.480000019</v>
      </c>
      <c r="E36" s="13">
        <v>8495625.0399999991</v>
      </c>
      <c r="F36" s="13">
        <v>9435207</v>
      </c>
      <c r="G36" s="14">
        <v>2.62</v>
      </c>
      <c r="H36" s="14">
        <v>0.9</v>
      </c>
      <c r="I36" s="13">
        <v>707968.7533333333</v>
      </c>
      <c r="J36" s="15">
        <v>6</v>
      </c>
      <c r="K36" s="13">
        <v>20465136.96000002</v>
      </c>
      <c r="L36" s="13">
        <v>973755.91333333647</v>
      </c>
      <c r="M36" s="13" t="s">
        <v>192</v>
      </c>
      <c r="N36" s="197">
        <v>43831</v>
      </c>
      <c r="O36" s="16">
        <v>46023</v>
      </c>
      <c r="P36" s="13">
        <v>622623.72</v>
      </c>
      <c r="Q36" s="242" t="e">
        <v>#VALUE!</v>
      </c>
    </row>
    <row r="37" spans="1:17" x14ac:dyDescent="0.2">
      <c r="A37" s="4" t="s">
        <v>27</v>
      </c>
      <c r="B37" s="13">
        <v>1340428223.5599999</v>
      </c>
      <c r="C37" s="13">
        <v>1261888114.1700001</v>
      </c>
      <c r="D37" s="13">
        <v>78540109.389999866</v>
      </c>
      <c r="E37" s="13">
        <v>21950011.050000001</v>
      </c>
      <c r="F37" s="13">
        <v>30689455</v>
      </c>
      <c r="G37" s="14">
        <v>2.56</v>
      </c>
      <c r="H37" s="14">
        <v>0.72</v>
      </c>
      <c r="I37" s="13">
        <v>1829167.5875000001</v>
      </c>
      <c r="J37" s="15">
        <v>0</v>
      </c>
      <c r="K37" s="13">
        <v>78540109.389999866</v>
      </c>
      <c r="L37" s="13" t="s">
        <v>193</v>
      </c>
      <c r="M37" s="13" t="s">
        <v>193</v>
      </c>
      <c r="N37" s="197">
        <v>43647</v>
      </c>
      <c r="O37" s="16">
        <v>45839</v>
      </c>
      <c r="P37" s="13">
        <v>2338823.88</v>
      </c>
      <c r="Q37" s="242" t="e">
        <v>#VALUE!</v>
      </c>
    </row>
    <row r="38" spans="1:17" x14ac:dyDescent="0.2">
      <c r="A38" s="4" t="s">
        <v>57</v>
      </c>
      <c r="B38" s="13">
        <v>2950491414.54</v>
      </c>
      <c r="C38" s="13">
        <v>2770868203.1599998</v>
      </c>
      <c r="D38" s="13">
        <v>179623211.38000011</v>
      </c>
      <c r="E38" s="13">
        <v>64890439.719999999</v>
      </c>
      <c r="F38" s="13">
        <v>71178309</v>
      </c>
      <c r="G38" s="14">
        <v>2.52</v>
      </c>
      <c r="H38" s="14">
        <v>0.91</v>
      </c>
      <c r="I38" s="13">
        <v>5407536.6433333335</v>
      </c>
      <c r="J38" s="15">
        <v>2</v>
      </c>
      <c r="K38" s="13">
        <v>168808138.09333345</v>
      </c>
      <c r="L38" s="13">
        <v>18633296.690000057</v>
      </c>
      <c r="M38" s="13" t="s">
        <v>192</v>
      </c>
      <c r="N38" s="197">
        <v>44075</v>
      </c>
      <c r="O38" s="16">
        <v>45901</v>
      </c>
      <c r="P38" s="13">
        <v>6912623.9800000004</v>
      </c>
      <c r="Q38" s="242" t="e">
        <v>#VALUE!</v>
      </c>
    </row>
    <row r="39" spans="1:17" x14ac:dyDescent="0.2">
      <c r="A39" s="4" t="s">
        <v>15</v>
      </c>
      <c r="B39" s="13">
        <v>1108314599.5</v>
      </c>
      <c r="C39" s="13">
        <v>1051787730.76</v>
      </c>
      <c r="D39" s="13">
        <v>56526868.74000001</v>
      </c>
      <c r="E39" s="13">
        <v>19663777.59</v>
      </c>
      <c r="F39" s="13">
        <v>23039495</v>
      </c>
      <c r="G39" s="14">
        <v>2.4500000000000002</v>
      </c>
      <c r="H39" s="14">
        <v>0.85</v>
      </c>
      <c r="I39" s="13">
        <v>1638648.1325000001</v>
      </c>
      <c r="J39" s="15">
        <v>9</v>
      </c>
      <c r="K39" s="13">
        <v>41779035.547500007</v>
      </c>
      <c r="L39" s="13" t="s">
        <v>192</v>
      </c>
      <c r="M39" s="13" t="s">
        <v>192</v>
      </c>
      <c r="N39" s="197">
        <v>43556</v>
      </c>
      <c r="O39" s="16">
        <v>46113</v>
      </c>
      <c r="P39" s="13">
        <v>1628489.15</v>
      </c>
      <c r="Q39" s="242" t="e">
        <v>#VALUE!</v>
      </c>
    </row>
    <row r="40" spans="1:17" x14ac:dyDescent="0.2">
      <c r="A40" s="4" t="s">
        <v>31</v>
      </c>
      <c r="B40" s="13">
        <v>1227877221</v>
      </c>
      <c r="C40" s="13">
        <v>1173073111.6700001</v>
      </c>
      <c r="D40" s="13">
        <v>54804109.329999924</v>
      </c>
      <c r="E40" s="13">
        <v>18369911.34</v>
      </c>
      <c r="F40" s="13">
        <v>22761731</v>
      </c>
      <c r="G40" s="14">
        <v>2.41</v>
      </c>
      <c r="H40" s="14">
        <v>0.81</v>
      </c>
      <c r="I40" s="13">
        <v>1530825.9450000001</v>
      </c>
      <c r="J40" s="15">
        <v>9</v>
      </c>
      <c r="K40" s="13">
        <v>41026675.824999921</v>
      </c>
      <c r="L40" s="13" t="s">
        <v>192</v>
      </c>
      <c r="M40" s="13" t="s">
        <v>192</v>
      </c>
      <c r="N40" s="197">
        <v>43922</v>
      </c>
      <c r="O40" s="16">
        <v>46113</v>
      </c>
      <c r="P40" s="13">
        <v>800589.75</v>
      </c>
      <c r="Q40" s="242" t="e">
        <v>#VALUE!</v>
      </c>
    </row>
    <row r="41" spans="1:17" x14ac:dyDescent="0.2">
      <c r="A41" s="4" t="s">
        <v>25</v>
      </c>
      <c r="B41" s="13">
        <v>351543186.45999998</v>
      </c>
      <c r="C41" s="13">
        <v>331141661.24000001</v>
      </c>
      <c r="D41" s="13">
        <v>20401525.219999969</v>
      </c>
      <c r="E41" s="13">
        <v>6911736.5199999996</v>
      </c>
      <c r="F41" s="13">
        <v>8658249</v>
      </c>
      <c r="G41" s="14">
        <v>2.36</v>
      </c>
      <c r="H41" s="14">
        <v>0.8</v>
      </c>
      <c r="I41" s="13">
        <v>575978.04333333333</v>
      </c>
      <c r="J41" s="15">
        <v>9</v>
      </c>
      <c r="K41" s="13">
        <v>15217722.829999968</v>
      </c>
      <c r="L41" s="13" t="s">
        <v>192</v>
      </c>
      <c r="M41" s="13" t="s">
        <v>192</v>
      </c>
      <c r="N41" s="197">
        <v>43556</v>
      </c>
      <c r="O41" s="16">
        <v>46113</v>
      </c>
      <c r="P41" s="13">
        <v>443058.73</v>
      </c>
      <c r="Q41" s="242" t="e">
        <v>#VALUE!</v>
      </c>
    </row>
    <row r="42" spans="1:17" x14ac:dyDescent="0.2">
      <c r="A42" s="4" t="s">
        <v>59</v>
      </c>
      <c r="B42" s="13">
        <v>285086766</v>
      </c>
      <c r="C42" s="13">
        <v>268263878</v>
      </c>
      <c r="D42" s="13">
        <v>16822888</v>
      </c>
      <c r="E42" s="13">
        <v>5906470.9699999997</v>
      </c>
      <c r="F42" s="13">
        <v>7485780</v>
      </c>
      <c r="G42" s="14">
        <v>2.25</v>
      </c>
      <c r="H42" s="14">
        <v>0.79</v>
      </c>
      <c r="I42" s="13">
        <v>492205.91416666663</v>
      </c>
      <c r="J42" s="15">
        <v>0</v>
      </c>
      <c r="K42" s="13">
        <v>16822888</v>
      </c>
      <c r="L42" s="13" t="s">
        <v>193</v>
      </c>
      <c r="M42" s="13" t="s">
        <v>192</v>
      </c>
      <c r="N42" s="197">
        <v>43647</v>
      </c>
      <c r="O42" s="16">
        <v>45839</v>
      </c>
      <c r="P42" s="13">
        <v>924245</v>
      </c>
      <c r="Q42" s="242" t="e">
        <v>#VALUE!</v>
      </c>
    </row>
    <row r="43" spans="1:17" x14ac:dyDescent="0.2">
      <c r="A43" s="4" t="s">
        <v>49</v>
      </c>
      <c r="B43" s="13">
        <v>699328036.19000006</v>
      </c>
      <c r="C43" s="13">
        <v>669768620.42999995</v>
      </c>
      <c r="D43" s="13">
        <v>29559415.76000011</v>
      </c>
      <c r="E43" s="13">
        <v>12098860.640000001</v>
      </c>
      <c r="F43" s="13">
        <v>14024709</v>
      </c>
      <c r="G43" s="14">
        <v>2.11</v>
      </c>
      <c r="H43" s="14">
        <v>0.86</v>
      </c>
      <c r="I43" s="13">
        <v>1008238.3866666667</v>
      </c>
      <c r="J43" s="15">
        <v>9</v>
      </c>
      <c r="K43" s="13">
        <v>20485270.280000109</v>
      </c>
      <c r="L43" s="13" t="s">
        <v>192</v>
      </c>
      <c r="M43" s="13" t="s">
        <v>192</v>
      </c>
      <c r="N43" s="197">
        <v>43922</v>
      </c>
      <c r="O43" s="16">
        <v>46113</v>
      </c>
      <c r="P43" s="13">
        <v>221133.68</v>
      </c>
      <c r="Q43" s="242" t="e">
        <v>#VALUE!</v>
      </c>
    </row>
    <row r="44" spans="1:17" x14ac:dyDescent="0.2">
      <c r="A44" s="4" t="s">
        <v>50</v>
      </c>
      <c r="B44" s="13">
        <v>557171086.30999994</v>
      </c>
      <c r="C44" s="13">
        <v>532623973.91000003</v>
      </c>
      <c r="D44" s="13">
        <v>24547112.399999917</v>
      </c>
      <c r="E44" s="13">
        <v>15862495.1</v>
      </c>
      <c r="F44" s="13">
        <v>11761407</v>
      </c>
      <c r="G44" s="14">
        <v>2.09</v>
      </c>
      <c r="H44" s="14">
        <v>1.35</v>
      </c>
      <c r="I44" s="13">
        <v>1321874.5916666666</v>
      </c>
      <c r="J44" s="15">
        <v>6</v>
      </c>
      <c r="K44" s="13">
        <v>16615864.849999918</v>
      </c>
      <c r="L44" s="13" t="s">
        <v>192</v>
      </c>
      <c r="M44" s="13" t="s">
        <v>192</v>
      </c>
      <c r="N44" s="197">
        <v>43831</v>
      </c>
      <c r="O44" s="16">
        <v>46023</v>
      </c>
      <c r="P44" s="13">
        <v>190500</v>
      </c>
      <c r="Q44" s="242" t="e">
        <v>#VALUE!</v>
      </c>
    </row>
    <row r="45" spans="1:17" x14ac:dyDescent="0.2">
      <c r="A45" s="4" t="s">
        <v>34</v>
      </c>
      <c r="B45" s="13">
        <v>1428807757.99</v>
      </c>
      <c r="C45" s="13">
        <v>1358503146.6800001</v>
      </c>
      <c r="D45" s="13">
        <v>70304611.309999943</v>
      </c>
      <c r="E45" s="13">
        <v>46516013.880000003</v>
      </c>
      <c r="F45" s="13">
        <v>34424780</v>
      </c>
      <c r="G45" s="14">
        <v>2.04</v>
      </c>
      <c r="H45" s="14">
        <v>1.35</v>
      </c>
      <c r="I45" s="13">
        <v>3876334.49</v>
      </c>
      <c r="J45" s="15">
        <v>9</v>
      </c>
      <c r="K45" s="13">
        <v>35417600.899999939</v>
      </c>
      <c r="L45" s="13" t="s">
        <v>192</v>
      </c>
      <c r="M45" s="13" t="s">
        <v>192</v>
      </c>
      <c r="N45" s="197">
        <v>43922</v>
      </c>
      <c r="O45" s="16">
        <v>46113</v>
      </c>
      <c r="P45" s="13">
        <v>1647682.1</v>
      </c>
      <c r="Q45" s="242" t="e">
        <v>#VALUE!</v>
      </c>
    </row>
    <row r="46" spans="1:17" x14ac:dyDescent="0.2">
      <c r="A46" s="4" t="s">
        <v>48</v>
      </c>
      <c r="B46" s="13">
        <v>1985336227.8699999</v>
      </c>
      <c r="C46" s="13">
        <v>1894004960.3399999</v>
      </c>
      <c r="D46" s="13">
        <v>91331267.529999971</v>
      </c>
      <c r="E46" s="13">
        <v>42823110.950000003</v>
      </c>
      <c r="F46" s="13">
        <v>45588088</v>
      </c>
      <c r="G46" s="14">
        <v>2</v>
      </c>
      <c r="H46" s="14">
        <v>0.94</v>
      </c>
      <c r="I46" s="13">
        <v>3568592.5791666671</v>
      </c>
      <c r="J46" s="15">
        <v>0</v>
      </c>
      <c r="K46" s="13">
        <v>91331267.529999971</v>
      </c>
      <c r="L46" s="13" t="s">
        <v>193</v>
      </c>
      <c r="M46" s="13" t="s">
        <v>192</v>
      </c>
      <c r="N46" s="197">
        <v>43647</v>
      </c>
      <c r="O46" s="16">
        <v>45839</v>
      </c>
      <c r="P46" s="13">
        <v>2461115.87</v>
      </c>
      <c r="Q46" s="242" t="e">
        <v>#VALUE!</v>
      </c>
    </row>
    <row r="47" spans="1:17" x14ac:dyDescent="0.2">
      <c r="A47" s="4" t="s">
        <v>63</v>
      </c>
      <c r="B47" s="13">
        <v>1110426785</v>
      </c>
      <c r="C47" s="13">
        <v>1056194841.21</v>
      </c>
      <c r="D47" s="13">
        <v>54231943.789999962</v>
      </c>
      <c r="E47" s="13">
        <v>22894791.32</v>
      </c>
      <c r="F47" s="13">
        <v>27485501</v>
      </c>
      <c r="G47" s="14">
        <v>1.97</v>
      </c>
      <c r="H47" s="14">
        <v>0.83</v>
      </c>
      <c r="I47" s="13">
        <v>1907899.2766666666</v>
      </c>
      <c r="J47" s="15">
        <v>9</v>
      </c>
      <c r="K47" s="13">
        <v>37060850.299999967</v>
      </c>
      <c r="L47" s="13" t="s">
        <v>192</v>
      </c>
      <c r="M47" s="13" t="s">
        <v>192</v>
      </c>
      <c r="N47" s="197">
        <v>43922</v>
      </c>
      <c r="O47" s="16">
        <v>46113</v>
      </c>
      <c r="P47" s="13">
        <v>1545578.17</v>
      </c>
      <c r="Q47" s="242" t="e">
        <v>#VALUE!</v>
      </c>
    </row>
    <row r="48" spans="1:17" x14ac:dyDescent="0.2">
      <c r="A48" s="4" t="s">
        <v>41</v>
      </c>
      <c r="B48" s="13">
        <v>101611843</v>
      </c>
      <c r="C48" s="13">
        <v>96103461.560000002</v>
      </c>
      <c r="D48" s="13">
        <v>5508381.4399999976</v>
      </c>
      <c r="E48" s="13">
        <v>3484153.46</v>
      </c>
      <c r="F48" s="13">
        <v>2910779</v>
      </c>
      <c r="G48" s="14">
        <v>1.89</v>
      </c>
      <c r="H48" s="14">
        <v>1.2</v>
      </c>
      <c r="I48" s="13">
        <v>290346.12166666664</v>
      </c>
      <c r="J48" s="15">
        <v>0</v>
      </c>
      <c r="K48" s="13">
        <v>5508381.4399999976</v>
      </c>
      <c r="L48" s="13" t="s">
        <v>192</v>
      </c>
      <c r="M48" s="13" t="s">
        <v>192</v>
      </c>
      <c r="N48" s="197">
        <v>43647</v>
      </c>
      <c r="O48" s="16">
        <v>45839</v>
      </c>
      <c r="P48" s="13">
        <v>0</v>
      </c>
      <c r="Q48" s="242" t="e">
        <v>#VALUE!</v>
      </c>
    </row>
    <row r="49" spans="1:17" x14ac:dyDescent="0.2">
      <c r="A49" s="4" t="s">
        <v>32</v>
      </c>
      <c r="B49" s="13">
        <v>509113932</v>
      </c>
      <c r="C49" s="13">
        <v>487377146.81</v>
      </c>
      <c r="D49" s="13">
        <v>21736785.189999998</v>
      </c>
      <c r="E49" s="13">
        <v>11593702.289999999</v>
      </c>
      <c r="F49" s="13">
        <v>11867952</v>
      </c>
      <c r="G49" s="14">
        <v>1.83</v>
      </c>
      <c r="H49" s="14">
        <v>0.98</v>
      </c>
      <c r="I49" s="13">
        <v>966141.85749999993</v>
      </c>
      <c r="J49" s="15">
        <v>6</v>
      </c>
      <c r="K49" s="13">
        <v>15939934.044999998</v>
      </c>
      <c r="L49" s="13" t="s">
        <v>192</v>
      </c>
      <c r="M49" s="13" t="s">
        <v>192</v>
      </c>
      <c r="N49" s="197">
        <v>43831</v>
      </c>
      <c r="O49" s="16">
        <v>46023</v>
      </c>
      <c r="P49" s="13">
        <v>974329.41</v>
      </c>
      <c r="Q49" s="242" t="e">
        <v>#VALUE!</v>
      </c>
    </row>
    <row r="50" spans="1:17" x14ac:dyDescent="0.2">
      <c r="A50" s="4" t="s">
        <v>17</v>
      </c>
      <c r="B50" s="13">
        <v>398824318</v>
      </c>
      <c r="C50" s="13">
        <v>382168474.32999998</v>
      </c>
      <c r="D50" s="13">
        <v>16655843.670000017</v>
      </c>
      <c r="E50" s="13">
        <v>10894045.449999999</v>
      </c>
      <c r="F50" s="13">
        <v>9664284</v>
      </c>
      <c r="G50" s="14">
        <v>1.72</v>
      </c>
      <c r="H50" s="14">
        <v>1.1299999999999999</v>
      </c>
      <c r="I50" s="13">
        <v>907837.12083333323</v>
      </c>
      <c r="J50" s="15">
        <v>0</v>
      </c>
      <c r="K50" s="13">
        <v>16655843.670000017</v>
      </c>
      <c r="L50" s="13" t="s">
        <v>192</v>
      </c>
      <c r="M50" s="13" t="s">
        <v>192</v>
      </c>
      <c r="N50" s="197">
        <v>43647</v>
      </c>
      <c r="O50" s="16">
        <v>45839</v>
      </c>
      <c r="P50" s="13">
        <v>863184.22</v>
      </c>
      <c r="Q50" s="242" t="e">
        <v>#VALUE!</v>
      </c>
    </row>
    <row r="51" spans="1:17" x14ac:dyDescent="0.2">
      <c r="A51" s="4" t="s">
        <v>58</v>
      </c>
      <c r="B51" s="13">
        <v>243764651</v>
      </c>
      <c r="C51" s="13">
        <v>234765473.88999999</v>
      </c>
      <c r="D51" s="13">
        <v>8999177.1100000143</v>
      </c>
      <c r="E51" s="13">
        <v>5196117.1900000004</v>
      </c>
      <c r="F51" s="13">
        <v>5561418</v>
      </c>
      <c r="G51" s="14">
        <v>1.62</v>
      </c>
      <c r="H51" s="14">
        <v>0.93</v>
      </c>
      <c r="I51" s="13">
        <v>433009.76583333337</v>
      </c>
      <c r="J51" s="15">
        <v>0</v>
      </c>
      <c r="K51" s="13">
        <v>8999177.1100000143</v>
      </c>
      <c r="L51" s="13" t="s">
        <v>192</v>
      </c>
      <c r="M51" s="13" t="s">
        <v>192</v>
      </c>
      <c r="N51" s="197">
        <v>43647</v>
      </c>
      <c r="O51" s="16">
        <v>45839</v>
      </c>
      <c r="P51" s="13">
        <v>503720.75</v>
      </c>
      <c r="Q51" s="242" t="e">
        <v>#VALUE!</v>
      </c>
    </row>
    <row r="52" spans="1:17" x14ac:dyDescent="0.2">
      <c r="A52" s="4" t="s">
        <v>22</v>
      </c>
      <c r="B52" s="13">
        <v>78247436</v>
      </c>
      <c r="C52" s="13">
        <v>74540708.090000004</v>
      </c>
      <c r="D52" s="18">
        <v>3706727.9099999964</v>
      </c>
      <c r="E52" s="13">
        <v>2663576.81</v>
      </c>
      <c r="F52" s="13">
        <v>2776815</v>
      </c>
      <c r="G52" s="14">
        <v>1.33</v>
      </c>
      <c r="H52" s="14">
        <v>0.96</v>
      </c>
      <c r="I52" s="18">
        <v>221964.73416666666</v>
      </c>
      <c r="J52" s="15">
        <v>0</v>
      </c>
      <c r="K52" s="18">
        <v>3706727.9099999964</v>
      </c>
      <c r="L52" s="18" t="s">
        <v>192</v>
      </c>
      <c r="M52" s="18" t="s">
        <v>192</v>
      </c>
      <c r="N52" s="198">
        <v>43647</v>
      </c>
      <c r="O52" s="16">
        <v>45839</v>
      </c>
      <c r="P52" s="13">
        <v>29610.11</v>
      </c>
      <c r="Q52" s="242" t="e">
        <v>#VALUE!</v>
      </c>
    </row>
    <row r="53" spans="1:17" x14ac:dyDescent="0.25">
      <c r="A53" s="36" t="s">
        <v>65</v>
      </c>
      <c r="B53" s="33">
        <v>44036420836.440002</v>
      </c>
      <c r="C53" s="13">
        <v>40838851898.900002</v>
      </c>
      <c r="D53" s="33">
        <v>3197568937.5400009</v>
      </c>
      <c r="E53" s="13">
        <v>948506069.75</v>
      </c>
      <c r="F53" s="13">
        <v>983785270</v>
      </c>
      <c r="G53" s="14">
        <v>3.25</v>
      </c>
      <c r="H53" s="14">
        <v>0.96</v>
      </c>
      <c r="I53" s="33">
        <v>79042172.479166672</v>
      </c>
      <c r="J53" s="34"/>
      <c r="K53" s="35"/>
      <c r="L53" s="35"/>
      <c r="M53" s="35"/>
      <c r="N53" s="35"/>
      <c r="O53" s="35"/>
      <c r="P53" s="33">
        <v>69412230.74000001</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36</v>
      </c>
      <c r="H56" s="25"/>
    </row>
    <row r="57" spans="1:17" ht="27" customHeight="1" thickBot="1" x14ac:dyDescent="0.3">
      <c r="D57" s="248" t="s">
        <v>67</v>
      </c>
      <c r="E57" s="249"/>
      <c r="F57" s="249"/>
      <c r="G57" s="27"/>
      <c r="H57" s="28">
        <v>35</v>
      </c>
    </row>
  </sheetData>
  <mergeCells count="2">
    <mergeCell ref="D56:F56"/>
    <mergeCell ref="D57:F57"/>
  </mergeCells>
  <conditionalFormatting sqref="G54">
    <cfRule type="cellIs" dxfId="167" priority="13" stopIfTrue="1" operator="greaterThan">
      <formula>2.5</formula>
    </cfRule>
    <cfRule type="cellIs" dxfId="166" priority="14" stopIfTrue="1" operator="between">
      <formula>2.01</formula>
      <formula>2.5</formula>
    </cfRule>
  </conditionalFormatting>
  <conditionalFormatting sqref="H3:H53">
    <cfRule type="cellIs" dxfId="165" priority="12" stopIfTrue="1" operator="lessThan">
      <formula>1</formula>
    </cfRule>
  </conditionalFormatting>
  <conditionalFormatting sqref="G3:G53">
    <cfRule type="cellIs" dxfId="164" priority="10" stopIfTrue="1" operator="greaterThan">
      <formula>2.5</formula>
    </cfRule>
    <cfRule type="cellIs" dxfId="163" priority="11" stopIfTrue="1" operator="between">
      <formula>2.01</formula>
      <formula>2.5</formula>
    </cfRule>
  </conditionalFormatting>
  <conditionalFormatting sqref="K3:K52">
    <cfRule type="cellIs" dxfId="162" priority="8" stopIfTrue="1" operator="greaterThan">
      <formula>$F3*2.5</formula>
    </cfRule>
    <cfRule type="cellIs" dxfId="161" priority="9" stopIfTrue="1" operator="between">
      <formula>$F3*2</formula>
      <formula>$F3*2.5</formula>
    </cfRule>
  </conditionalFormatting>
  <conditionalFormatting sqref="G54">
    <cfRule type="cellIs" dxfId="160" priority="6" stopIfTrue="1" operator="greaterThan">
      <formula>2.5</formula>
    </cfRule>
    <cfRule type="cellIs" dxfId="159" priority="7" stopIfTrue="1" operator="between">
      <formula>2.01</formula>
      <formula>2.5</formula>
    </cfRule>
  </conditionalFormatting>
  <conditionalFormatting sqref="H3:H53">
    <cfRule type="cellIs" dxfId="158" priority="5" stopIfTrue="1" operator="lessThan">
      <formula>1</formula>
    </cfRule>
  </conditionalFormatting>
  <conditionalFormatting sqref="G3:G53">
    <cfRule type="cellIs" dxfId="157" priority="3" stopIfTrue="1" operator="greaterThan">
      <formula>2.5</formula>
    </cfRule>
    <cfRule type="cellIs" dxfId="156" priority="4" stopIfTrue="1" operator="between">
      <formula>2.01</formula>
      <formula>2.5</formula>
    </cfRule>
  </conditionalFormatting>
  <conditionalFormatting sqref="K3:K52">
    <cfRule type="cellIs" dxfId="155" priority="1" stopIfTrue="1" operator="greaterThan">
      <formula>$F3*2.5</formula>
    </cfRule>
    <cfRule type="cellIs" dxfId="154"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2EC19-269D-4A6F-A7AC-CC9212EC4BC6}">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300</v>
      </c>
      <c r="B1" s="196" t="s">
        <v>301</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1161972037.8499999</v>
      </c>
      <c r="C3" s="13">
        <v>1010319924.88</v>
      </c>
      <c r="D3" s="13">
        <v>151652112.96999991</v>
      </c>
      <c r="E3" s="13">
        <v>23182357.460000001</v>
      </c>
      <c r="F3" s="13">
        <v>24581601</v>
      </c>
      <c r="G3" s="14">
        <v>6.17</v>
      </c>
      <c r="H3" s="14">
        <v>0.94</v>
      </c>
      <c r="I3" s="13">
        <v>1931863.1216666668</v>
      </c>
      <c r="J3" s="15">
        <v>0</v>
      </c>
      <c r="K3" s="13">
        <v>151652112.96999991</v>
      </c>
      <c r="L3" s="13" t="s">
        <v>193</v>
      </c>
      <c r="M3" s="13" t="s">
        <v>193</v>
      </c>
      <c r="N3" s="197">
        <v>43647</v>
      </c>
      <c r="O3" s="16">
        <v>45839</v>
      </c>
      <c r="P3" s="13">
        <v>1261893.83</v>
      </c>
      <c r="Q3" s="243" t="e">
        <v>#VALUE!</v>
      </c>
    </row>
    <row r="4" spans="1:17" x14ac:dyDescent="0.2">
      <c r="A4" s="4" t="s">
        <v>62</v>
      </c>
      <c r="B4" s="13">
        <v>722479384.32000005</v>
      </c>
      <c r="C4" s="13">
        <v>648154760.91999996</v>
      </c>
      <c r="D4" s="13">
        <v>74324623.400000095</v>
      </c>
      <c r="E4" s="13">
        <v>12040968.17</v>
      </c>
      <c r="F4" s="13">
        <v>13783001</v>
      </c>
      <c r="G4" s="14">
        <v>5.39</v>
      </c>
      <c r="H4" s="14">
        <v>0.87</v>
      </c>
      <c r="I4" s="13">
        <v>1003414.0141666667</v>
      </c>
      <c r="J4" s="15">
        <v>0</v>
      </c>
      <c r="K4" s="13">
        <v>74324623.400000095</v>
      </c>
      <c r="L4" s="13" t="s">
        <v>193</v>
      </c>
      <c r="M4" s="13" t="s">
        <v>193</v>
      </c>
      <c r="N4" s="197">
        <v>43647</v>
      </c>
      <c r="O4" s="16">
        <v>45839</v>
      </c>
      <c r="P4" s="13">
        <v>1403926.17</v>
      </c>
      <c r="Q4" s="242" t="e">
        <v>#VALUE!</v>
      </c>
    </row>
    <row r="5" spans="1:17" x14ac:dyDescent="0.2">
      <c r="A5" s="4" t="s">
        <v>35</v>
      </c>
      <c r="B5" s="13">
        <v>1503333344.97</v>
      </c>
      <c r="C5" s="13">
        <v>1322052012.3599999</v>
      </c>
      <c r="D5" s="13">
        <v>181281332.61000013</v>
      </c>
      <c r="E5" s="13">
        <v>22656307.940000001</v>
      </c>
      <c r="F5" s="13">
        <v>34090474</v>
      </c>
      <c r="G5" s="14">
        <v>5.32</v>
      </c>
      <c r="H5" s="14">
        <v>0.66</v>
      </c>
      <c r="I5" s="13">
        <v>1888025.6616666669</v>
      </c>
      <c r="J5" s="15">
        <v>0</v>
      </c>
      <c r="K5" s="13">
        <v>181281332.61000013</v>
      </c>
      <c r="L5" s="13" t="s">
        <v>193</v>
      </c>
      <c r="M5" s="13" t="s">
        <v>193</v>
      </c>
      <c r="N5" s="197">
        <v>43647</v>
      </c>
      <c r="O5" s="16">
        <v>45839</v>
      </c>
      <c r="P5" s="13">
        <v>879956.01</v>
      </c>
      <c r="Q5" s="242" t="e">
        <v>#VALUE!</v>
      </c>
    </row>
    <row r="6" spans="1:17" x14ac:dyDescent="0.2">
      <c r="A6" s="4" t="s">
        <v>46</v>
      </c>
      <c r="B6" s="13">
        <v>1834758280.3599999</v>
      </c>
      <c r="C6" s="13">
        <v>1591737961.1700001</v>
      </c>
      <c r="D6" s="13">
        <v>243020319.18999982</v>
      </c>
      <c r="E6" s="13">
        <v>43793139.270000003</v>
      </c>
      <c r="F6" s="13">
        <v>46162390</v>
      </c>
      <c r="G6" s="14">
        <v>5.26</v>
      </c>
      <c r="H6" s="14">
        <v>0.95</v>
      </c>
      <c r="I6" s="13">
        <v>3649428.2725000004</v>
      </c>
      <c r="J6" s="15">
        <v>5</v>
      </c>
      <c r="K6" s="13">
        <v>224773177.82749981</v>
      </c>
      <c r="L6" s="13">
        <v>30139107.837999962</v>
      </c>
      <c r="M6" s="13">
        <v>25522868.837999962</v>
      </c>
      <c r="N6" s="197">
        <v>43831</v>
      </c>
      <c r="O6" s="16">
        <v>46023</v>
      </c>
      <c r="P6" s="13">
        <v>3846505.99</v>
      </c>
      <c r="Q6" s="242" t="e">
        <v>#VALUE!</v>
      </c>
    </row>
    <row r="7" spans="1:17" x14ac:dyDescent="0.2">
      <c r="A7" s="4" t="s">
        <v>44</v>
      </c>
      <c r="B7" s="13">
        <v>504504813</v>
      </c>
      <c r="C7" s="13">
        <v>458564651.61000001</v>
      </c>
      <c r="D7" s="13">
        <v>45940161.389999986</v>
      </c>
      <c r="E7" s="13">
        <v>10924713.82</v>
      </c>
      <c r="F7" s="13">
        <v>10946097</v>
      </c>
      <c r="G7" s="14">
        <v>4.2</v>
      </c>
      <c r="H7" s="14">
        <v>1</v>
      </c>
      <c r="I7" s="13">
        <v>910392.81833333336</v>
      </c>
      <c r="J7" s="15">
        <v>5</v>
      </c>
      <c r="K7" s="13">
        <v>41388197.298333317</v>
      </c>
      <c r="L7" s="13">
        <v>4809593.4779999973</v>
      </c>
      <c r="M7" s="13">
        <v>3714983.7779999971</v>
      </c>
      <c r="N7" s="197">
        <v>43831</v>
      </c>
      <c r="O7" s="16">
        <v>46023</v>
      </c>
      <c r="P7" s="13">
        <v>31290.13</v>
      </c>
      <c r="Q7" s="242" t="e">
        <v>#VALUE!</v>
      </c>
    </row>
    <row r="8" spans="1:17" x14ac:dyDescent="0.2">
      <c r="A8" s="4" t="s">
        <v>64</v>
      </c>
      <c r="B8" s="13">
        <v>124445693.39</v>
      </c>
      <c r="C8" s="13">
        <v>109616615.38</v>
      </c>
      <c r="D8" s="13">
        <v>14829078.010000005</v>
      </c>
      <c r="E8" s="13">
        <v>5096790.72</v>
      </c>
      <c r="F8" s="13">
        <v>3545933</v>
      </c>
      <c r="G8" s="14">
        <v>4.18</v>
      </c>
      <c r="H8" s="14">
        <v>1.44</v>
      </c>
      <c r="I8" s="13">
        <v>424732.56</v>
      </c>
      <c r="J8" s="15">
        <v>5</v>
      </c>
      <c r="K8" s="13">
        <v>12705415.210000005</v>
      </c>
      <c r="L8" s="13">
        <v>1547442.4020000012</v>
      </c>
      <c r="M8" s="13">
        <v>1192849.1020000011</v>
      </c>
      <c r="N8" s="197">
        <v>43831</v>
      </c>
      <c r="O8" s="16">
        <v>46023</v>
      </c>
      <c r="P8" s="13">
        <v>18167.82</v>
      </c>
      <c r="Q8" s="242" t="e">
        <v>#VALUE!</v>
      </c>
    </row>
    <row r="9" spans="1:17" x14ac:dyDescent="0.2">
      <c r="A9" s="4" t="s">
        <v>36</v>
      </c>
      <c r="B9" s="13">
        <v>872347192</v>
      </c>
      <c r="C9" s="13">
        <v>795254780.63</v>
      </c>
      <c r="D9" s="13">
        <v>77092411.370000005</v>
      </c>
      <c r="E9" s="13">
        <v>17223941.289999999</v>
      </c>
      <c r="F9" s="13">
        <v>19090913</v>
      </c>
      <c r="G9" s="14">
        <v>4.04</v>
      </c>
      <c r="H9" s="14">
        <v>0.9</v>
      </c>
      <c r="I9" s="13">
        <v>1435328.4408333332</v>
      </c>
      <c r="J9" s="15">
        <v>2</v>
      </c>
      <c r="K9" s="13">
        <v>74221754.488333344</v>
      </c>
      <c r="L9" s="13">
        <v>19455292.685000002</v>
      </c>
      <c r="M9" s="13">
        <v>14682564.435000002</v>
      </c>
      <c r="N9" s="197">
        <v>43739</v>
      </c>
      <c r="O9" s="16">
        <v>45931</v>
      </c>
      <c r="P9" s="13">
        <v>993471.03</v>
      </c>
      <c r="Q9" s="242" t="e">
        <v>#VALUE!</v>
      </c>
    </row>
    <row r="10" spans="1:17" x14ac:dyDescent="0.2">
      <c r="A10" s="4" t="s">
        <v>30</v>
      </c>
      <c r="B10" s="13">
        <v>1194714205.73</v>
      </c>
      <c r="C10" s="13">
        <v>1087954402.95</v>
      </c>
      <c r="D10" s="13">
        <v>106759802.77999997</v>
      </c>
      <c r="E10" s="13">
        <v>21382444.870000001</v>
      </c>
      <c r="F10" s="13">
        <v>26571929</v>
      </c>
      <c r="G10" s="14">
        <v>4.0199999999999996</v>
      </c>
      <c r="H10" s="14">
        <v>0.8</v>
      </c>
      <c r="I10" s="13">
        <v>1781870.4058333335</v>
      </c>
      <c r="J10" s="15">
        <v>0</v>
      </c>
      <c r="K10" s="13">
        <v>106759802.77999997</v>
      </c>
      <c r="L10" s="13" t="s">
        <v>193</v>
      </c>
      <c r="M10" s="13" t="s">
        <v>193</v>
      </c>
      <c r="N10" s="197">
        <v>43647</v>
      </c>
      <c r="O10" s="16">
        <v>45839</v>
      </c>
      <c r="P10" s="13">
        <v>1153766</v>
      </c>
      <c r="Q10" s="242" t="e">
        <v>#VALUE!</v>
      </c>
    </row>
    <row r="11" spans="1:17" x14ac:dyDescent="0.2">
      <c r="A11" s="4" t="s">
        <v>52</v>
      </c>
      <c r="B11" s="13">
        <v>1966895481</v>
      </c>
      <c r="C11" s="13">
        <v>1879407441.6600001</v>
      </c>
      <c r="D11" s="13">
        <v>87488039.339999914</v>
      </c>
      <c r="E11" s="13">
        <v>19996680.199999999</v>
      </c>
      <c r="F11" s="13">
        <v>21788490</v>
      </c>
      <c r="G11" s="14">
        <v>4.0199999999999996</v>
      </c>
      <c r="H11" s="14">
        <v>0.92</v>
      </c>
      <c r="I11" s="13">
        <v>1666390.0166666666</v>
      </c>
      <c r="J11" s="15">
        <v>0</v>
      </c>
      <c r="K11" s="13">
        <v>87488039.339999914</v>
      </c>
      <c r="L11" s="13" t="s">
        <v>193</v>
      </c>
      <c r="M11" s="13" t="s">
        <v>193</v>
      </c>
      <c r="N11" s="197">
        <v>43647</v>
      </c>
      <c r="O11" s="16">
        <v>45839</v>
      </c>
      <c r="P11" s="13">
        <v>1024643.03</v>
      </c>
      <c r="Q11" s="242" t="e">
        <v>#VALUE!</v>
      </c>
    </row>
    <row r="12" spans="1:17" x14ac:dyDescent="0.2">
      <c r="A12" s="4" t="s">
        <v>40</v>
      </c>
      <c r="B12" s="13">
        <v>511163315.91000003</v>
      </c>
      <c r="C12" s="13">
        <v>468811333.05000001</v>
      </c>
      <c r="D12" s="13">
        <v>42351982.860000014</v>
      </c>
      <c r="E12" s="13">
        <v>6825670.3499999996</v>
      </c>
      <c r="F12" s="13">
        <v>10598087</v>
      </c>
      <c r="G12" s="14">
        <v>4</v>
      </c>
      <c r="H12" s="14">
        <v>0.64</v>
      </c>
      <c r="I12" s="13">
        <v>568805.86249999993</v>
      </c>
      <c r="J12" s="15">
        <v>0</v>
      </c>
      <c r="K12" s="13">
        <v>42351982.860000014</v>
      </c>
      <c r="L12" s="13" t="s">
        <v>193</v>
      </c>
      <c r="M12" s="13" t="s">
        <v>193</v>
      </c>
      <c r="N12" s="197">
        <v>43647</v>
      </c>
      <c r="O12" s="16">
        <v>45839</v>
      </c>
      <c r="P12" s="13">
        <v>591773.71</v>
      </c>
      <c r="Q12" s="242" t="e">
        <v>#VALUE!</v>
      </c>
    </row>
    <row r="13" spans="1:17" x14ac:dyDescent="0.2">
      <c r="A13" s="4" t="s">
        <v>60</v>
      </c>
      <c r="B13" s="13">
        <v>813673223</v>
      </c>
      <c r="C13" s="13">
        <v>737105127.73000002</v>
      </c>
      <c r="D13" s="13">
        <v>76568095.269999981</v>
      </c>
      <c r="E13" s="13">
        <v>13314875.01</v>
      </c>
      <c r="F13" s="13">
        <v>19453948</v>
      </c>
      <c r="G13" s="14">
        <v>3.94</v>
      </c>
      <c r="H13" s="14">
        <v>0.68</v>
      </c>
      <c r="I13" s="13">
        <v>1109572.9175</v>
      </c>
      <c r="J13" s="15">
        <v>0</v>
      </c>
      <c r="K13" s="13">
        <v>76568095.269999981</v>
      </c>
      <c r="L13" s="13" t="s">
        <v>193</v>
      </c>
      <c r="M13" s="13" t="s">
        <v>193</v>
      </c>
      <c r="N13" s="197">
        <v>43647</v>
      </c>
      <c r="O13" s="16">
        <v>45839</v>
      </c>
      <c r="P13" s="13">
        <v>2038138.11</v>
      </c>
      <c r="Q13" s="242" t="e">
        <v>#VALUE!</v>
      </c>
    </row>
    <row r="14" spans="1:17" x14ac:dyDescent="0.2">
      <c r="A14" s="4" t="s">
        <v>26</v>
      </c>
      <c r="B14" s="13">
        <v>1365257298.0599999</v>
      </c>
      <c r="C14" s="13">
        <v>1254319454.5</v>
      </c>
      <c r="D14" s="13">
        <v>110937843.55999994</v>
      </c>
      <c r="E14" s="13">
        <v>59906385.600000001</v>
      </c>
      <c r="F14" s="13">
        <v>28988172</v>
      </c>
      <c r="G14" s="14">
        <v>3.83</v>
      </c>
      <c r="H14" s="14">
        <v>2.0699999999999998</v>
      </c>
      <c r="I14" s="13">
        <v>4992198.8</v>
      </c>
      <c r="J14" s="15">
        <v>5</v>
      </c>
      <c r="K14" s="13">
        <v>85976849.559999943</v>
      </c>
      <c r="L14" s="13">
        <v>10592299.911999989</v>
      </c>
      <c r="M14" s="13">
        <v>7693482.7119999882</v>
      </c>
      <c r="N14" s="197">
        <v>43831</v>
      </c>
      <c r="O14" s="16">
        <v>46023</v>
      </c>
      <c r="P14" s="13">
        <v>5242779.74</v>
      </c>
      <c r="Q14" s="242" t="e">
        <v>#VALUE!</v>
      </c>
    </row>
    <row r="15" spans="1:17" x14ac:dyDescent="0.2">
      <c r="A15" s="4" t="s">
        <v>39</v>
      </c>
      <c r="B15" s="13">
        <v>271317340</v>
      </c>
      <c r="C15" s="13">
        <v>248231352.66999999</v>
      </c>
      <c r="D15" s="13">
        <v>23085987.330000013</v>
      </c>
      <c r="E15" s="13">
        <v>7397598.5899999999</v>
      </c>
      <c r="F15" s="13">
        <v>6196840</v>
      </c>
      <c r="G15" s="14">
        <v>3.73</v>
      </c>
      <c r="H15" s="14">
        <v>1.19</v>
      </c>
      <c r="I15" s="13">
        <v>616466.54916666669</v>
      </c>
      <c r="J15" s="15">
        <v>8</v>
      </c>
      <c r="K15" s="13">
        <v>18154254.936666679</v>
      </c>
      <c r="L15" s="13">
        <v>1336538.4162500016</v>
      </c>
      <c r="M15" s="13">
        <v>949235.91625000164</v>
      </c>
      <c r="N15" s="197">
        <v>43922</v>
      </c>
      <c r="O15" s="16">
        <v>46113</v>
      </c>
      <c r="P15" s="13">
        <v>76458.759999999995</v>
      </c>
      <c r="Q15" s="242" t="e">
        <v>#VALUE!</v>
      </c>
    </row>
    <row r="16" spans="1:17" x14ac:dyDescent="0.2">
      <c r="A16" s="4" t="s">
        <v>43</v>
      </c>
      <c r="B16" s="13">
        <v>307409614.24000001</v>
      </c>
      <c r="C16" s="13">
        <v>282414974.45999998</v>
      </c>
      <c r="D16" s="13">
        <v>24994639.780000031</v>
      </c>
      <c r="E16" s="13">
        <v>4451131</v>
      </c>
      <c r="F16" s="13">
        <v>6878551</v>
      </c>
      <c r="G16" s="14">
        <v>3.63</v>
      </c>
      <c r="H16" s="14">
        <v>0.65</v>
      </c>
      <c r="I16" s="13">
        <v>370927.58333333331</v>
      </c>
      <c r="J16" s="15">
        <v>0</v>
      </c>
      <c r="K16" s="13">
        <v>24994639.780000031</v>
      </c>
      <c r="L16" s="13" t="s">
        <v>193</v>
      </c>
      <c r="M16" s="13" t="s">
        <v>193</v>
      </c>
      <c r="N16" s="197">
        <v>43647</v>
      </c>
      <c r="O16" s="16">
        <v>45839</v>
      </c>
      <c r="P16" s="13">
        <v>65583</v>
      </c>
      <c r="Q16" s="242" t="e">
        <v>#VALUE!</v>
      </c>
    </row>
    <row r="17" spans="1:17" x14ac:dyDescent="0.2">
      <c r="A17" s="4" t="s">
        <v>53</v>
      </c>
      <c r="B17" s="13">
        <v>208940278.25</v>
      </c>
      <c r="C17" s="13">
        <v>188065971.91999999</v>
      </c>
      <c r="D17" s="13">
        <v>20874306.330000013</v>
      </c>
      <c r="E17" s="13">
        <v>6405220.2800000003</v>
      </c>
      <c r="F17" s="13">
        <v>5755637</v>
      </c>
      <c r="G17" s="14">
        <v>3.63</v>
      </c>
      <c r="H17" s="14">
        <v>1.1100000000000001</v>
      </c>
      <c r="I17" s="13">
        <v>533768.35666666669</v>
      </c>
      <c r="J17" s="15">
        <v>0</v>
      </c>
      <c r="K17" s="13">
        <v>20874306.330000013</v>
      </c>
      <c r="L17" s="13" t="s">
        <v>193</v>
      </c>
      <c r="M17" s="13" t="s">
        <v>193</v>
      </c>
      <c r="N17" s="197">
        <v>43647</v>
      </c>
      <c r="O17" s="16">
        <v>45839</v>
      </c>
      <c r="P17" s="13">
        <v>416345.84</v>
      </c>
      <c r="Q17" s="242" t="e">
        <v>#VALUE!</v>
      </c>
    </row>
    <row r="18" spans="1:17" x14ac:dyDescent="0.2">
      <c r="A18" s="4" t="s">
        <v>16</v>
      </c>
      <c r="B18" s="13">
        <v>107063879</v>
      </c>
      <c r="C18" s="13">
        <v>97428250.299999997</v>
      </c>
      <c r="D18" s="13">
        <v>9635628.700000003</v>
      </c>
      <c r="E18" s="13">
        <v>2064447.43</v>
      </c>
      <c r="F18" s="13">
        <v>2669761</v>
      </c>
      <c r="G18" s="14">
        <v>3.61</v>
      </c>
      <c r="H18" s="14">
        <v>0.77</v>
      </c>
      <c r="I18" s="13">
        <v>172037.28583333333</v>
      </c>
      <c r="J18" s="15">
        <v>0</v>
      </c>
      <c r="K18" s="13">
        <v>9635628.700000003</v>
      </c>
      <c r="L18" s="13" t="s">
        <v>193</v>
      </c>
      <c r="M18" s="13" t="s">
        <v>193</v>
      </c>
      <c r="N18" s="197">
        <v>43647</v>
      </c>
      <c r="O18" s="16">
        <v>45839</v>
      </c>
      <c r="P18" s="13">
        <v>166629.70000000001</v>
      </c>
      <c r="Q18" s="242" t="e">
        <v>#VALUE!</v>
      </c>
    </row>
    <row r="19" spans="1:17" x14ac:dyDescent="0.2">
      <c r="A19" s="4" t="s">
        <v>20</v>
      </c>
      <c r="B19" s="13">
        <v>402118853.93000001</v>
      </c>
      <c r="C19" s="13">
        <v>369910546.16000003</v>
      </c>
      <c r="D19" s="13">
        <v>32208307.769999981</v>
      </c>
      <c r="E19" s="13">
        <v>6949662.1500000004</v>
      </c>
      <c r="F19" s="13">
        <v>9522686</v>
      </c>
      <c r="G19" s="14">
        <v>3.38</v>
      </c>
      <c r="H19" s="14">
        <v>0.73</v>
      </c>
      <c r="I19" s="13">
        <v>579138.51250000007</v>
      </c>
      <c r="J19" s="15">
        <v>8</v>
      </c>
      <c r="K19" s="13">
        <v>27575199.669999979</v>
      </c>
      <c r="L19" s="13">
        <v>1645366.9712499976</v>
      </c>
      <c r="M19" s="13">
        <v>1050199.0962499976</v>
      </c>
      <c r="N19" s="197">
        <v>43556</v>
      </c>
      <c r="O19" s="16">
        <v>46113</v>
      </c>
      <c r="P19" s="13">
        <v>458751.51</v>
      </c>
      <c r="Q19" s="242" t="e">
        <v>#VALUE!</v>
      </c>
    </row>
    <row r="20" spans="1:17" x14ac:dyDescent="0.2">
      <c r="A20" s="4" t="s">
        <v>54</v>
      </c>
      <c r="B20" s="13">
        <v>1042589157.45</v>
      </c>
      <c r="C20" s="13">
        <v>974796864.95000005</v>
      </c>
      <c r="D20" s="13">
        <v>67792292.5</v>
      </c>
      <c r="E20" s="13">
        <v>21950193.91</v>
      </c>
      <c r="F20" s="13">
        <v>20158365</v>
      </c>
      <c r="G20" s="14">
        <v>3.36</v>
      </c>
      <c r="H20" s="14">
        <v>1.0900000000000001</v>
      </c>
      <c r="I20" s="13">
        <v>1829182.8258333334</v>
      </c>
      <c r="J20" s="15">
        <v>8</v>
      </c>
      <c r="K20" s="13">
        <v>53158829.893333331</v>
      </c>
      <c r="L20" s="13">
        <v>3434445.3125</v>
      </c>
      <c r="M20" s="13">
        <v>2174547.5</v>
      </c>
      <c r="N20" s="197">
        <v>43922</v>
      </c>
      <c r="O20" s="16">
        <v>46113</v>
      </c>
      <c r="P20" s="13">
        <v>3906487.75</v>
      </c>
      <c r="Q20" s="242" t="e">
        <v>#VALUE!</v>
      </c>
    </row>
    <row r="21" spans="1:17" x14ac:dyDescent="0.2">
      <c r="A21" s="4" t="s">
        <v>38</v>
      </c>
      <c r="B21" s="13">
        <v>1033187132</v>
      </c>
      <c r="C21" s="13">
        <v>958291862.75</v>
      </c>
      <c r="D21" s="13">
        <v>74895269.25</v>
      </c>
      <c r="E21" s="13">
        <v>22754916.780000001</v>
      </c>
      <c r="F21" s="13">
        <v>22862412</v>
      </c>
      <c r="G21" s="14">
        <v>3.28</v>
      </c>
      <c r="H21" s="14">
        <v>1</v>
      </c>
      <c r="I21" s="13">
        <v>1896243.0650000002</v>
      </c>
      <c r="J21" s="15">
        <v>8</v>
      </c>
      <c r="K21" s="13">
        <v>59725324.729999997</v>
      </c>
      <c r="L21" s="13">
        <v>3646305.65625</v>
      </c>
      <c r="M21" s="13">
        <v>2217404.90625</v>
      </c>
      <c r="N21" s="197">
        <v>43922</v>
      </c>
      <c r="O21" s="16">
        <v>46113</v>
      </c>
      <c r="P21" s="13">
        <v>1168911.2</v>
      </c>
      <c r="Q21" s="242" t="e">
        <v>#VALUE!</v>
      </c>
    </row>
    <row r="22" spans="1:17" x14ac:dyDescent="0.2">
      <c r="A22" s="4" t="s">
        <v>47</v>
      </c>
      <c r="B22" s="13">
        <v>190999038.36000001</v>
      </c>
      <c r="C22" s="13">
        <v>179600132.06999999</v>
      </c>
      <c r="D22" s="13">
        <v>11398906.290000021</v>
      </c>
      <c r="E22" s="13">
        <v>6051932.1699999999</v>
      </c>
      <c r="F22" s="13">
        <v>3551615</v>
      </c>
      <c r="G22" s="14">
        <v>3.21</v>
      </c>
      <c r="H22" s="14">
        <v>1.7</v>
      </c>
      <c r="I22" s="13">
        <v>504327.68083333335</v>
      </c>
      <c r="J22" s="15">
        <v>0</v>
      </c>
      <c r="K22" s="13">
        <v>11398906.290000021</v>
      </c>
      <c r="L22" s="13" t="s">
        <v>193</v>
      </c>
      <c r="M22" s="13" t="s">
        <v>193</v>
      </c>
      <c r="N22" s="197">
        <v>43647</v>
      </c>
      <c r="O22" s="16">
        <v>45839</v>
      </c>
      <c r="P22" s="13">
        <v>0</v>
      </c>
      <c r="Q22" s="242" t="e">
        <v>#VALUE!</v>
      </c>
    </row>
    <row r="23" spans="1:17" x14ac:dyDescent="0.2">
      <c r="A23" s="4" t="s">
        <v>28</v>
      </c>
      <c r="B23" s="13">
        <v>1083940953</v>
      </c>
      <c r="C23" s="13">
        <v>1007286577.92</v>
      </c>
      <c r="D23" s="13">
        <v>76654375.080000043</v>
      </c>
      <c r="E23" s="13">
        <v>18095924.66</v>
      </c>
      <c r="F23" s="13">
        <v>24208645</v>
      </c>
      <c r="G23" s="14">
        <v>3.17</v>
      </c>
      <c r="H23" s="14">
        <v>0.75</v>
      </c>
      <c r="I23" s="13">
        <v>1507993.7216666667</v>
      </c>
      <c r="J23" s="15">
        <v>5</v>
      </c>
      <c r="K23" s="13">
        <v>69114406.471666709</v>
      </c>
      <c r="L23" s="13">
        <v>5647417.0160000082</v>
      </c>
      <c r="M23" s="13">
        <v>3226552.5160000087</v>
      </c>
      <c r="N23" s="197">
        <v>43831</v>
      </c>
      <c r="O23" s="16">
        <v>46023</v>
      </c>
      <c r="P23" s="13">
        <v>615695</v>
      </c>
      <c r="Q23" s="242" t="e">
        <v>#VALUE!</v>
      </c>
    </row>
    <row r="24" spans="1:17" x14ac:dyDescent="0.2">
      <c r="A24" s="4" t="s">
        <v>29</v>
      </c>
      <c r="B24" s="13">
        <v>689945660</v>
      </c>
      <c r="C24" s="13">
        <v>643190822.39999998</v>
      </c>
      <c r="D24" s="13">
        <v>46754837.600000024</v>
      </c>
      <c r="E24" s="13">
        <v>9019794.1600000001</v>
      </c>
      <c r="F24" s="13">
        <v>14901309</v>
      </c>
      <c r="G24" s="14">
        <v>3.14</v>
      </c>
      <c r="H24" s="14">
        <v>0.61</v>
      </c>
      <c r="I24" s="13">
        <v>751649.51333333331</v>
      </c>
      <c r="J24" s="15">
        <v>5</v>
      </c>
      <c r="K24" s="13">
        <v>42996590.033333361</v>
      </c>
      <c r="L24" s="13">
        <v>3390443.9200000046</v>
      </c>
      <c r="M24" s="13">
        <v>1900313.0200000047</v>
      </c>
      <c r="N24" s="197">
        <v>43466</v>
      </c>
      <c r="O24" s="16">
        <v>46023</v>
      </c>
      <c r="P24" s="13">
        <v>612718.78</v>
      </c>
      <c r="Q24" s="242" t="e">
        <v>#VALUE!</v>
      </c>
    </row>
    <row r="25" spans="1:17" x14ac:dyDescent="0.2">
      <c r="A25" s="4" t="s">
        <v>37</v>
      </c>
      <c r="B25" s="13">
        <v>1263148065.8299999</v>
      </c>
      <c r="C25" s="13">
        <v>1189330455.9400001</v>
      </c>
      <c r="D25" s="13">
        <v>73817609.889999866</v>
      </c>
      <c r="E25" s="13">
        <v>18600679.23</v>
      </c>
      <c r="F25" s="13">
        <v>23759923</v>
      </c>
      <c r="G25" s="14">
        <v>3.11</v>
      </c>
      <c r="H25" s="14">
        <v>0.78</v>
      </c>
      <c r="I25" s="13">
        <v>1550056.6025</v>
      </c>
      <c r="J25" s="15">
        <v>0</v>
      </c>
      <c r="K25" s="13">
        <v>73817609.889999866</v>
      </c>
      <c r="L25" s="13" t="s">
        <v>193</v>
      </c>
      <c r="M25" s="13" t="s">
        <v>193</v>
      </c>
      <c r="N25" s="197">
        <v>43647</v>
      </c>
      <c r="O25" s="16">
        <v>45839</v>
      </c>
      <c r="P25" s="13">
        <v>364770.3</v>
      </c>
      <c r="Q25" s="242" t="e">
        <v>#VALUE!</v>
      </c>
    </row>
    <row r="26" spans="1:17" x14ac:dyDescent="0.2">
      <c r="A26" s="4" t="s">
        <v>33</v>
      </c>
      <c r="B26" s="13">
        <v>321862947.48000002</v>
      </c>
      <c r="C26" s="13">
        <v>299037792.54000002</v>
      </c>
      <c r="D26" s="13">
        <v>22825154.939999998</v>
      </c>
      <c r="E26" s="13">
        <v>7948133.1500000004</v>
      </c>
      <c r="F26" s="13">
        <v>7416560</v>
      </c>
      <c r="G26" s="14">
        <v>3.08</v>
      </c>
      <c r="H26" s="14">
        <v>1.07</v>
      </c>
      <c r="I26" s="13">
        <v>662344.4291666667</v>
      </c>
      <c r="J26" s="15">
        <v>0</v>
      </c>
      <c r="K26" s="13">
        <v>22825154.939999998</v>
      </c>
      <c r="L26" s="13" t="s">
        <v>193</v>
      </c>
      <c r="M26" s="13" t="s">
        <v>193</v>
      </c>
      <c r="N26" s="197">
        <v>43647</v>
      </c>
      <c r="O26" s="16">
        <v>45839</v>
      </c>
      <c r="P26" s="13">
        <v>706412.15</v>
      </c>
      <c r="Q26" s="242" t="e">
        <v>#VALUE!</v>
      </c>
    </row>
    <row r="27" spans="1:17" x14ac:dyDescent="0.2">
      <c r="A27" s="4" t="s">
        <v>45</v>
      </c>
      <c r="B27" s="13">
        <v>1276422533.53</v>
      </c>
      <c r="C27" s="13">
        <v>1130667083</v>
      </c>
      <c r="D27" s="13">
        <v>145755450.52999997</v>
      </c>
      <c r="E27" s="13">
        <v>40419835.990000002</v>
      </c>
      <c r="F27" s="13">
        <v>47644860</v>
      </c>
      <c r="G27" s="14">
        <v>3.06</v>
      </c>
      <c r="H27" s="14">
        <v>0.85</v>
      </c>
      <c r="I27" s="13">
        <v>3368319.6658333335</v>
      </c>
      <c r="J27" s="15">
        <v>5</v>
      </c>
      <c r="K27" s="13">
        <v>128913852.20083331</v>
      </c>
      <c r="L27" s="13">
        <v>10093146.105999995</v>
      </c>
      <c r="M27" s="13">
        <v>5328660.1059999941</v>
      </c>
      <c r="N27" s="197">
        <v>43831</v>
      </c>
      <c r="O27" s="16">
        <v>46023</v>
      </c>
      <c r="P27" s="13">
        <v>2678117.52</v>
      </c>
      <c r="Q27" s="242" t="e">
        <v>#VALUE!</v>
      </c>
    </row>
    <row r="28" spans="1:17" x14ac:dyDescent="0.2">
      <c r="A28" s="4" t="s">
        <v>24</v>
      </c>
      <c r="B28" s="13">
        <v>1683242657.0699999</v>
      </c>
      <c r="C28" s="13">
        <v>1558483102.0799999</v>
      </c>
      <c r="D28" s="13">
        <v>124759554.99000001</v>
      </c>
      <c r="E28" s="13">
        <v>31305120.280000001</v>
      </c>
      <c r="F28" s="13">
        <v>40945091</v>
      </c>
      <c r="G28" s="14">
        <v>3.05</v>
      </c>
      <c r="H28" s="14">
        <v>0.76</v>
      </c>
      <c r="I28" s="13">
        <v>2608760.0233333334</v>
      </c>
      <c r="J28" s="15">
        <v>0</v>
      </c>
      <c r="K28" s="13">
        <v>124759554.99000001</v>
      </c>
      <c r="L28" s="13" t="s">
        <v>193</v>
      </c>
      <c r="M28" s="13" t="s">
        <v>193</v>
      </c>
      <c r="N28" s="197">
        <v>43647</v>
      </c>
      <c r="O28" s="16">
        <v>45839</v>
      </c>
      <c r="P28" s="13">
        <v>2773138.61</v>
      </c>
      <c r="Q28" s="242" t="e">
        <v>#VALUE!</v>
      </c>
    </row>
    <row r="29" spans="1:17" x14ac:dyDescent="0.2">
      <c r="A29" s="4" t="s">
        <v>19</v>
      </c>
      <c r="B29" s="13">
        <v>1468177330.9100001</v>
      </c>
      <c r="C29" s="13">
        <v>1377981642.5</v>
      </c>
      <c r="D29" s="13">
        <v>90195688.410000086</v>
      </c>
      <c r="E29" s="13">
        <v>49974387.979999997</v>
      </c>
      <c r="F29" s="13">
        <v>29748591</v>
      </c>
      <c r="G29" s="14">
        <v>3.03</v>
      </c>
      <c r="H29" s="14">
        <v>1.68</v>
      </c>
      <c r="I29" s="13">
        <v>4164532.3316666665</v>
      </c>
      <c r="J29" s="15">
        <v>0</v>
      </c>
      <c r="K29" s="13">
        <v>90195688.410000086</v>
      </c>
      <c r="L29" s="13" t="s">
        <v>193</v>
      </c>
      <c r="M29" s="13" t="s">
        <v>193</v>
      </c>
      <c r="N29" s="197">
        <v>43647</v>
      </c>
      <c r="O29" s="16">
        <v>45839</v>
      </c>
      <c r="P29" s="13">
        <v>3309584.81</v>
      </c>
      <c r="Q29" s="242" t="e">
        <v>#VALUE!</v>
      </c>
    </row>
    <row r="30" spans="1:17" x14ac:dyDescent="0.2">
      <c r="A30" s="4" t="s">
        <v>51</v>
      </c>
      <c r="B30" s="13">
        <v>2041893568.29</v>
      </c>
      <c r="C30" s="13">
        <v>1919219151.3699999</v>
      </c>
      <c r="D30" s="13">
        <v>122674416.92000008</v>
      </c>
      <c r="E30" s="13">
        <v>40693595.880000003</v>
      </c>
      <c r="F30" s="13">
        <v>40828727</v>
      </c>
      <c r="G30" s="14">
        <v>3</v>
      </c>
      <c r="H30" s="14">
        <v>1</v>
      </c>
      <c r="I30" s="13">
        <v>3391132.99</v>
      </c>
      <c r="J30" s="15">
        <v>5</v>
      </c>
      <c r="K30" s="13">
        <v>105718751.97000007</v>
      </c>
      <c r="L30" s="13">
        <v>8203392.5840000156</v>
      </c>
      <c r="M30" s="13">
        <v>4120519.8840000154</v>
      </c>
      <c r="N30" s="197">
        <v>43831</v>
      </c>
      <c r="O30" s="16">
        <v>46023</v>
      </c>
      <c r="P30" s="13">
        <v>2100509.4300000002</v>
      </c>
      <c r="Q30" s="242" t="e">
        <v>#VALUE!</v>
      </c>
    </row>
    <row r="31" spans="1:17" x14ac:dyDescent="0.2">
      <c r="A31" s="4" t="s">
        <v>55</v>
      </c>
      <c r="B31" s="13">
        <v>259883413</v>
      </c>
      <c r="C31" s="13">
        <v>243099732.75</v>
      </c>
      <c r="D31" s="13">
        <v>16783680.25</v>
      </c>
      <c r="E31" s="13">
        <v>7373250.3799999999</v>
      </c>
      <c r="F31" s="13">
        <v>5643956</v>
      </c>
      <c r="G31" s="14">
        <v>2.97</v>
      </c>
      <c r="H31" s="14">
        <v>1.31</v>
      </c>
      <c r="I31" s="13">
        <v>614437.53166666662</v>
      </c>
      <c r="J31" s="15">
        <v>5</v>
      </c>
      <c r="K31" s="13">
        <v>13711492.591666667</v>
      </c>
      <c r="L31" s="13">
        <v>1099153.6499999999</v>
      </c>
      <c r="M31" s="13" t="s">
        <v>192</v>
      </c>
      <c r="N31" s="197">
        <v>43831</v>
      </c>
      <c r="O31" s="16">
        <v>46023</v>
      </c>
      <c r="P31" s="13">
        <v>0</v>
      </c>
      <c r="Q31" s="242" t="e">
        <v>#VALUE!</v>
      </c>
    </row>
    <row r="32" spans="1:17" x14ac:dyDescent="0.2">
      <c r="A32" s="4" t="s">
        <v>18</v>
      </c>
      <c r="B32" s="13">
        <v>817050825.05999994</v>
      </c>
      <c r="C32" s="13">
        <v>766630754.54999995</v>
      </c>
      <c r="D32" s="13">
        <v>50420070.50999999</v>
      </c>
      <c r="E32" s="13">
        <v>27348495.68</v>
      </c>
      <c r="F32" s="13">
        <v>17644408</v>
      </c>
      <c r="G32" s="14">
        <v>2.86</v>
      </c>
      <c r="H32" s="14">
        <v>1.55</v>
      </c>
      <c r="I32" s="13">
        <v>2279041.3066666666</v>
      </c>
      <c r="J32" s="15">
        <v>0</v>
      </c>
      <c r="K32" s="13">
        <v>50420070.50999999</v>
      </c>
      <c r="L32" s="13" t="s">
        <v>193</v>
      </c>
      <c r="M32" s="13" t="s">
        <v>193</v>
      </c>
      <c r="N32" s="197">
        <v>43647</v>
      </c>
      <c r="O32" s="16">
        <v>45839</v>
      </c>
      <c r="P32" s="13">
        <v>2300865.79</v>
      </c>
      <c r="Q32" s="242" t="e">
        <v>#VALUE!</v>
      </c>
    </row>
    <row r="33" spans="1:17" x14ac:dyDescent="0.2">
      <c r="A33" s="4" t="s">
        <v>21</v>
      </c>
      <c r="B33" s="13">
        <v>542289730.02999997</v>
      </c>
      <c r="C33" s="13">
        <v>502461623.97000003</v>
      </c>
      <c r="D33" s="13">
        <v>39828106.059999943</v>
      </c>
      <c r="E33" s="13">
        <v>12280759.24</v>
      </c>
      <c r="F33" s="13">
        <v>13960891</v>
      </c>
      <c r="G33" s="14">
        <v>2.85</v>
      </c>
      <c r="H33" s="14">
        <v>0.88</v>
      </c>
      <c r="I33" s="13">
        <v>1023396.6033333334</v>
      </c>
      <c r="J33" s="15">
        <v>0</v>
      </c>
      <c r="K33" s="13">
        <v>39828106.059999943</v>
      </c>
      <c r="L33" s="13" t="s">
        <v>193</v>
      </c>
      <c r="M33" s="13" t="s">
        <v>193</v>
      </c>
      <c r="N33" s="197">
        <v>43647</v>
      </c>
      <c r="O33" s="16">
        <v>45839</v>
      </c>
      <c r="P33" s="13">
        <v>0</v>
      </c>
      <c r="Q33" s="242" t="e">
        <v>#VALUE!</v>
      </c>
    </row>
    <row r="34" spans="1:17" x14ac:dyDescent="0.2">
      <c r="A34" s="4" t="s">
        <v>56</v>
      </c>
      <c r="B34" s="13">
        <v>1182377479</v>
      </c>
      <c r="C34" s="13">
        <v>1106955619.1400001</v>
      </c>
      <c r="D34" s="13">
        <v>75421859.859999895</v>
      </c>
      <c r="E34" s="13">
        <v>23850020.59</v>
      </c>
      <c r="F34" s="13">
        <v>27472066</v>
      </c>
      <c r="G34" s="14">
        <v>2.75</v>
      </c>
      <c r="H34" s="14">
        <v>0.87</v>
      </c>
      <c r="I34" s="13">
        <v>1987501.7158333333</v>
      </c>
      <c r="J34" s="15">
        <v>0</v>
      </c>
      <c r="K34" s="13">
        <v>75421859.859999895</v>
      </c>
      <c r="L34" s="13" t="s">
        <v>193</v>
      </c>
      <c r="M34" s="13" t="s">
        <v>193</v>
      </c>
      <c r="N34" s="197">
        <v>43647</v>
      </c>
      <c r="O34" s="16">
        <v>45839</v>
      </c>
      <c r="P34" s="13">
        <v>1367194.14</v>
      </c>
      <c r="Q34" s="242" t="e">
        <v>#VALUE!</v>
      </c>
    </row>
    <row r="35" spans="1:17" x14ac:dyDescent="0.2">
      <c r="A35" s="4" t="s">
        <v>27</v>
      </c>
      <c r="B35" s="13">
        <v>1340428223.5599999</v>
      </c>
      <c r="C35" s="13">
        <v>1262506763.02</v>
      </c>
      <c r="D35" s="13">
        <v>77921460.539999962</v>
      </c>
      <c r="E35" s="13">
        <v>20196553.309999999</v>
      </c>
      <c r="F35" s="13">
        <v>30689455</v>
      </c>
      <c r="G35" s="14">
        <v>2.54</v>
      </c>
      <c r="H35" s="14">
        <v>0.66</v>
      </c>
      <c r="I35" s="13">
        <v>1683046.1091666666</v>
      </c>
      <c r="J35" s="15">
        <v>0</v>
      </c>
      <c r="K35" s="13">
        <v>77921460.539999962</v>
      </c>
      <c r="L35" s="13" t="s">
        <v>193</v>
      </c>
      <c r="M35" s="13" t="s">
        <v>193</v>
      </c>
      <c r="N35" s="197">
        <v>43647</v>
      </c>
      <c r="O35" s="16">
        <v>45839</v>
      </c>
      <c r="P35" s="13">
        <v>618648.85</v>
      </c>
      <c r="Q35" s="242" t="e">
        <v>#VALUE!</v>
      </c>
    </row>
    <row r="36" spans="1:17" x14ac:dyDescent="0.2">
      <c r="A36" s="4" t="s">
        <v>61</v>
      </c>
      <c r="B36" s="13">
        <v>535148479</v>
      </c>
      <c r="C36" s="13">
        <v>502119968.75999999</v>
      </c>
      <c r="D36" s="13">
        <v>33028510.24000001</v>
      </c>
      <c r="E36" s="13">
        <v>11259166.859999999</v>
      </c>
      <c r="F36" s="13">
        <v>13099382</v>
      </c>
      <c r="G36" s="14">
        <v>2.52</v>
      </c>
      <c r="H36" s="14">
        <v>0.86</v>
      </c>
      <c r="I36" s="13">
        <v>938263.90499999991</v>
      </c>
      <c r="J36" s="15">
        <v>0</v>
      </c>
      <c r="K36" s="13">
        <v>33028510.24000001</v>
      </c>
      <c r="L36" s="13" t="s">
        <v>193</v>
      </c>
      <c r="M36" s="13" t="s">
        <v>193</v>
      </c>
      <c r="N36" s="197">
        <v>43647</v>
      </c>
      <c r="O36" s="16">
        <v>45839</v>
      </c>
      <c r="P36" s="13">
        <v>1931068.05</v>
      </c>
      <c r="Q36" s="242" t="e">
        <v>#VALUE!</v>
      </c>
    </row>
    <row r="37" spans="1:17" x14ac:dyDescent="0.2">
      <c r="A37" s="4" t="s">
        <v>42</v>
      </c>
      <c r="B37" s="13">
        <v>355494147</v>
      </c>
      <c r="C37" s="13">
        <v>332171866.70999998</v>
      </c>
      <c r="D37" s="13">
        <v>23322280.290000021</v>
      </c>
      <c r="E37" s="13">
        <v>9275576.1500000004</v>
      </c>
      <c r="F37" s="13">
        <v>9435207</v>
      </c>
      <c r="G37" s="14">
        <v>2.4700000000000002</v>
      </c>
      <c r="H37" s="14">
        <v>0.98</v>
      </c>
      <c r="I37" s="13">
        <v>772964.6791666667</v>
      </c>
      <c r="J37" s="15">
        <v>5</v>
      </c>
      <c r="K37" s="13">
        <v>19457456.894166689</v>
      </c>
      <c r="L37" s="13">
        <v>890373.25800000434</v>
      </c>
      <c r="M37" s="13" t="s">
        <v>192</v>
      </c>
      <c r="N37" s="197">
        <v>43831</v>
      </c>
      <c r="O37" s="16">
        <v>46023</v>
      </c>
      <c r="P37" s="13">
        <v>1390669.19</v>
      </c>
      <c r="Q37" s="242" t="e">
        <v>#VALUE!</v>
      </c>
    </row>
    <row r="38" spans="1:17" x14ac:dyDescent="0.2">
      <c r="A38" s="4" t="s">
        <v>57</v>
      </c>
      <c r="B38" s="13">
        <v>2950491414.54</v>
      </c>
      <c r="C38" s="13">
        <v>2776719992.5999999</v>
      </c>
      <c r="D38" s="13">
        <v>173771421.94000006</v>
      </c>
      <c r="E38" s="13">
        <v>62900801.530000001</v>
      </c>
      <c r="F38" s="13">
        <v>71178309</v>
      </c>
      <c r="G38" s="14">
        <v>2.44</v>
      </c>
      <c r="H38" s="14">
        <v>0.88</v>
      </c>
      <c r="I38" s="13">
        <v>5241733.4608333334</v>
      </c>
      <c r="J38" s="15">
        <v>1</v>
      </c>
      <c r="K38" s="13">
        <v>168529688.47916672</v>
      </c>
      <c r="L38" s="13">
        <v>31414803.940000057</v>
      </c>
      <c r="M38" s="13" t="s">
        <v>192</v>
      </c>
      <c r="N38" s="197">
        <v>44075</v>
      </c>
      <c r="O38" s="16">
        <v>45901</v>
      </c>
      <c r="P38" s="13">
        <v>5851789.4400000004</v>
      </c>
      <c r="Q38" s="242" t="e">
        <v>#VALUE!</v>
      </c>
    </row>
    <row r="39" spans="1:17" x14ac:dyDescent="0.2">
      <c r="A39" s="4" t="s">
        <v>15</v>
      </c>
      <c r="B39" s="13">
        <v>1108314599.5</v>
      </c>
      <c r="C39" s="13">
        <v>1054275078.8099999</v>
      </c>
      <c r="D39" s="13">
        <v>54039520.690000057</v>
      </c>
      <c r="E39" s="13">
        <v>20630487.030000001</v>
      </c>
      <c r="F39" s="13">
        <v>23039495</v>
      </c>
      <c r="G39" s="14">
        <v>2.35</v>
      </c>
      <c r="H39" s="14">
        <v>0.9</v>
      </c>
      <c r="I39" s="13">
        <v>1719207.2525000002</v>
      </c>
      <c r="J39" s="15">
        <v>8</v>
      </c>
      <c r="K39" s="13">
        <v>40285862.670000054</v>
      </c>
      <c r="L39" s="13" t="s">
        <v>192</v>
      </c>
      <c r="M39" s="13" t="s">
        <v>192</v>
      </c>
      <c r="N39" s="197">
        <v>43556</v>
      </c>
      <c r="O39" s="16">
        <v>46113</v>
      </c>
      <c r="P39" s="13">
        <v>2487348.0499999998</v>
      </c>
      <c r="Q39" s="242" t="e">
        <v>#VALUE!</v>
      </c>
    </row>
    <row r="40" spans="1:17" x14ac:dyDescent="0.2">
      <c r="A40" s="4" t="s">
        <v>31</v>
      </c>
      <c r="B40" s="13">
        <v>1227877221</v>
      </c>
      <c r="C40" s="13">
        <v>1174928039.25</v>
      </c>
      <c r="D40" s="13">
        <v>52949181.75</v>
      </c>
      <c r="E40" s="13">
        <v>19227784.039999999</v>
      </c>
      <c r="F40" s="13">
        <v>22761731</v>
      </c>
      <c r="G40" s="14">
        <v>2.33</v>
      </c>
      <c r="H40" s="14">
        <v>0.84</v>
      </c>
      <c r="I40" s="13">
        <v>1602315.3366666667</v>
      </c>
      <c r="J40" s="15">
        <v>8</v>
      </c>
      <c r="K40" s="13">
        <v>40130659.056666665</v>
      </c>
      <c r="L40" s="13" t="s">
        <v>192</v>
      </c>
      <c r="M40" s="13" t="s">
        <v>192</v>
      </c>
      <c r="N40" s="197">
        <v>43922</v>
      </c>
      <c r="O40" s="16">
        <v>46113</v>
      </c>
      <c r="P40" s="13">
        <v>1854927.58</v>
      </c>
      <c r="Q40" s="242" t="e">
        <v>#VALUE!</v>
      </c>
    </row>
    <row r="41" spans="1:17" x14ac:dyDescent="0.2">
      <c r="A41" s="4" t="s">
        <v>25</v>
      </c>
      <c r="B41" s="13">
        <v>351543186.45999998</v>
      </c>
      <c r="C41" s="13">
        <v>331914978.94999999</v>
      </c>
      <c r="D41" s="13">
        <v>19628207.50999999</v>
      </c>
      <c r="E41" s="13">
        <v>7402500.6500000004</v>
      </c>
      <c r="F41" s="13">
        <v>8658249</v>
      </c>
      <c r="G41" s="14">
        <v>2.27</v>
      </c>
      <c r="H41" s="14">
        <v>0.85</v>
      </c>
      <c r="I41" s="13">
        <v>616875.0541666667</v>
      </c>
      <c r="J41" s="15">
        <v>8</v>
      </c>
      <c r="K41" s="13">
        <v>14693207.076666657</v>
      </c>
      <c r="L41" s="13" t="s">
        <v>192</v>
      </c>
      <c r="M41" s="13" t="s">
        <v>192</v>
      </c>
      <c r="N41" s="197">
        <v>43556</v>
      </c>
      <c r="O41" s="16">
        <v>46113</v>
      </c>
      <c r="P41" s="13">
        <v>773317.71</v>
      </c>
      <c r="Q41" s="242" t="e">
        <v>#VALUE!</v>
      </c>
    </row>
    <row r="42" spans="1:17" x14ac:dyDescent="0.2">
      <c r="A42" s="4" t="s">
        <v>59</v>
      </c>
      <c r="B42" s="13">
        <v>285086766</v>
      </c>
      <c r="C42" s="13">
        <v>268353142</v>
      </c>
      <c r="D42" s="13">
        <v>16733624</v>
      </c>
      <c r="E42" s="13">
        <v>4095052.97</v>
      </c>
      <c r="F42" s="13">
        <v>7485780</v>
      </c>
      <c r="G42" s="14">
        <v>2.2400000000000002</v>
      </c>
      <c r="H42" s="14">
        <v>0.55000000000000004</v>
      </c>
      <c r="I42" s="13">
        <v>341254.41416666668</v>
      </c>
      <c r="J42" s="15">
        <v>0</v>
      </c>
      <c r="K42" s="13">
        <v>16733624</v>
      </c>
      <c r="L42" s="13" t="s">
        <v>193</v>
      </c>
      <c r="M42" s="13" t="s">
        <v>192</v>
      </c>
      <c r="N42" s="197">
        <v>43647</v>
      </c>
      <c r="O42" s="16">
        <v>45839</v>
      </c>
      <c r="P42" s="13">
        <v>89264</v>
      </c>
      <c r="Q42" s="242" t="e">
        <v>#VALUE!</v>
      </c>
    </row>
    <row r="43" spans="1:17" x14ac:dyDescent="0.2">
      <c r="A43" s="4" t="s">
        <v>49</v>
      </c>
      <c r="B43" s="13">
        <v>699328036.19000006</v>
      </c>
      <c r="C43" s="13">
        <v>671465402.71000004</v>
      </c>
      <c r="D43" s="13">
        <v>27862633.480000019</v>
      </c>
      <c r="E43" s="13">
        <v>13071137.960000001</v>
      </c>
      <c r="F43" s="13">
        <v>14024709</v>
      </c>
      <c r="G43" s="14">
        <v>1.99</v>
      </c>
      <c r="H43" s="14">
        <v>0.93</v>
      </c>
      <c r="I43" s="13">
        <v>1089261.4966666668</v>
      </c>
      <c r="J43" s="15">
        <v>8</v>
      </c>
      <c r="K43" s="13">
        <v>19148541.506666683</v>
      </c>
      <c r="L43" s="13" t="s">
        <v>192</v>
      </c>
      <c r="M43" s="13" t="s">
        <v>192</v>
      </c>
      <c r="N43" s="197">
        <v>43922</v>
      </c>
      <c r="O43" s="16">
        <v>46113</v>
      </c>
      <c r="P43" s="13">
        <v>1696782.28</v>
      </c>
      <c r="Q43" s="242" t="e">
        <v>#VALUE!</v>
      </c>
    </row>
    <row r="44" spans="1:17" x14ac:dyDescent="0.2">
      <c r="A44" s="4" t="s">
        <v>50</v>
      </c>
      <c r="B44" s="13">
        <v>557171086.30999994</v>
      </c>
      <c r="C44" s="13">
        <v>533728414.91000003</v>
      </c>
      <c r="D44" s="13">
        <v>23442671.399999917</v>
      </c>
      <c r="E44" s="13">
        <v>15816408.720000001</v>
      </c>
      <c r="F44" s="13">
        <v>11761407</v>
      </c>
      <c r="G44" s="14">
        <v>1.99</v>
      </c>
      <c r="H44" s="14">
        <v>1.34</v>
      </c>
      <c r="I44" s="13">
        <v>1318034.06</v>
      </c>
      <c r="J44" s="15">
        <v>5</v>
      </c>
      <c r="K44" s="13">
        <v>16852501.099999916</v>
      </c>
      <c r="L44" s="13" t="s">
        <v>192</v>
      </c>
      <c r="M44" s="13" t="s">
        <v>192</v>
      </c>
      <c r="N44" s="197">
        <v>43831</v>
      </c>
      <c r="O44" s="16">
        <v>46023</v>
      </c>
      <c r="P44" s="13">
        <v>1104441</v>
      </c>
      <c r="Q44" s="242" t="e">
        <v>#VALUE!</v>
      </c>
    </row>
    <row r="45" spans="1:17" x14ac:dyDescent="0.2">
      <c r="A45" s="4" t="s">
        <v>34</v>
      </c>
      <c r="B45" s="13">
        <v>1428807757.99</v>
      </c>
      <c r="C45" s="13">
        <v>1360650409.5</v>
      </c>
      <c r="D45" s="13">
        <v>68157348.49000001</v>
      </c>
      <c r="E45" s="13">
        <v>45218844.380000003</v>
      </c>
      <c r="F45" s="13">
        <v>34424780</v>
      </c>
      <c r="G45" s="14">
        <v>1.98</v>
      </c>
      <c r="H45" s="14">
        <v>1.31</v>
      </c>
      <c r="I45" s="13">
        <v>3768237.0316666667</v>
      </c>
      <c r="J45" s="15">
        <v>8</v>
      </c>
      <c r="K45" s="13">
        <v>38011452.236666679</v>
      </c>
      <c r="L45" s="13" t="s">
        <v>192</v>
      </c>
      <c r="M45" s="13" t="s">
        <v>192</v>
      </c>
      <c r="N45" s="197">
        <v>43922</v>
      </c>
      <c r="O45" s="16">
        <v>46113</v>
      </c>
      <c r="P45" s="13">
        <v>2147262.8199999998</v>
      </c>
      <c r="Q45" s="242" t="e">
        <v>#VALUE!</v>
      </c>
    </row>
    <row r="46" spans="1:17" x14ac:dyDescent="0.2">
      <c r="A46" s="4" t="s">
        <v>63</v>
      </c>
      <c r="B46" s="13">
        <v>1110426785</v>
      </c>
      <c r="C46" s="13">
        <v>1056694404.09</v>
      </c>
      <c r="D46" s="13">
        <v>53732380.909999967</v>
      </c>
      <c r="E46" s="13">
        <v>23172436.870000001</v>
      </c>
      <c r="F46" s="13">
        <v>27485501</v>
      </c>
      <c r="G46" s="14">
        <v>1.95</v>
      </c>
      <c r="H46" s="14">
        <v>0.84</v>
      </c>
      <c r="I46" s="13">
        <v>1931036.4058333335</v>
      </c>
      <c r="J46" s="15">
        <v>8</v>
      </c>
      <c r="K46" s="13">
        <v>38284089.663333297</v>
      </c>
      <c r="L46" s="13" t="s">
        <v>192</v>
      </c>
      <c r="M46" s="13" t="s">
        <v>192</v>
      </c>
      <c r="N46" s="197">
        <v>43922</v>
      </c>
      <c r="O46" s="16">
        <v>46113</v>
      </c>
      <c r="P46" s="13">
        <v>499562.88</v>
      </c>
      <c r="Q46" s="242" t="e">
        <v>#VALUE!</v>
      </c>
    </row>
    <row r="47" spans="1:17" x14ac:dyDescent="0.2">
      <c r="A47" s="4" t="s">
        <v>48</v>
      </c>
      <c r="B47" s="13">
        <v>1985336227.8699999</v>
      </c>
      <c r="C47" s="13">
        <v>1899392713.1099999</v>
      </c>
      <c r="D47" s="13">
        <v>85943514.75999999</v>
      </c>
      <c r="E47" s="13">
        <v>43190561.780000001</v>
      </c>
      <c r="F47" s="13">
        <v>45588088</v>
      </c>
      <c r="G47" s="14">
        <v>1.89</v>
      </c>
      <c r="H47" s="14">
        <v>0.95</v>
      </c>
      <c r="I47" s="13">
        <v>3599213.4816666669</v>
      </c>
      <c r="J47" s="15">
        <v>0</v>
      </c>
      <c r="K47" s="13">
        <v>85943514.75999999</v>
      </c>
      <c r="L47" s="13" t="s">
        <v>192</v>
      </c>
      <c r="M47" s="13" t="s">
        <v>192</v>
      </c>
      <c r="N47" s="197">
        <v>43647</v>
      </c>
      <c r="O47" s="16">
        <v>45839</v>
      </c>
      <c r="P47" s="13">
        <v>5387752.7699999996</v>
      </c>
      <c r="Q47" s="242" t="e">
        <v>#VALUE!</v>
      </c>
    </row>
    <row r="48" spans="1:17" x14ac:dyDescent="0.2">
      <c r="A48" s="4" t="s">
        <v>41</v>
      </c>
      <c r="B48" s="13">
        <v>101611843</v>
      </c>
      <c r="C48" s="13">
        <v>96140685.069999993</v>
      </c>
      <c r="D48" s="13">
        <v>5471157.9300000072</v>
      </c>
      <c r="E48" s="13">
        <v>3505066.47</v>
      </c>
      <c r="F48" s="13">
        <v>2910779</v>
      </c>
      <c r="G48" s="14">
        <v>1.88</v>
      </c>
      <c r="H48" s="14">
        <v>1.2</v>
      </c>
      <c r="I48" s="13">
        <v>292088.8725</v>
      </c>
      <c r="J48" s="15">
        <v>0</v>
      </c>
      <c r="K48" s="13">
        <v>5471157.9300000072</v>
      </c>
      <c r="L48" s="13" t="s">
        <v>192</v>
      </c>
      <c r="M48" s="13" t="s">
        <v>192</v>
      </c>
      <c r="N48" s="197">
        <v>43647</v>
      </c>
      <c r="O48" s="16">
        <v>45839</v>
      </c>
      <c r="P48" s="13">
        <v>37223.51</v>
      </c>
      <c r="Q48" s="242" t="e">
        <v>#VALUE!</v>
      </c>
    </row>
    <row r="49" spans="1:17" x14ac:dyDescent="0.2">
      <c r="A49" s="4" t="s">
        <v>32</v>
      </c>
      <c r="B49" s="13">
        <v>509113932</v>
      </c>
      <c r="C49" s="13">
        <v>487975320.27999997</v>
      </c>
      <c r="D49" s="13">
        <v>21138611.720000029</v>
      </c>
      <c r="E49" s="13">
        <v>11020530.9</v>
      </c>
      <c r="F49" s="13">
        <v>11867952</v>
      </c>
      <c r="G49" s="14">
        <v>1.78</v>
      </c>
      <c r="H49" s="14">
        <v>0.93</v>
      </c>
      <c r="I49" s="13">
        <v>918377.57500000007</v>
      </c>
      <c r="J49" s="15">
        <v>5</v>
      </c>
      <c r="K49" s="13">
        <v>16546723.845000029</v>
      </c>
      <c r="L49" s="13" t="s">
        <v>192</v>
      </c>
      <c r="M49" s="13" t="s">
        <v>192</v>
      </c>
      <c r="N49" s="197">
        <v>43831</v>
      </c>
      <c r="O49" s="16">
        <v>46023</v>
      </c>
      <c r="P49" s="13">
        <v>598173.47</v>
      </c>
      <c r="Q49" s="242" t="e">
        <v>#VALUE!</v>
      </c>
    </row>
    <row r="50" spans="1:17" x14ac:dyDescent="0.2">
      <c r="A50" s="4" t="s">
        <v>17</v>
      </c>
      <c r="B50" s="13">
        <v>398824318</v>
      </c>
      <c r="C50" s="13">
        <v>382630269.64999998</v>
      </c>
      <c r="D50" s="13">
        <v>16194048.350000024</v>
      </c>
      <c r="E50" s="13">
        <v>10268913.27</v>
      </c>
      <c r="F50" s="13">
        <v>9664284</v>
      </c>
      <c r="G50" s="14">
        <v>1.68</v>
      </c>
      <c r="H50" s="14">
        <v>1.06</v>
      </c>
      <c r="I50" s="13">
        <v>855742.77249999996</v>
      </c>
      <c r="J50" s="15">
        <v>0</v>
      </c>
      <c r="K50" s="13">
        <v>16194048.350000024</v>
      </c>
      <c r="L50" s="13" t="s">
        <v>192</v>
      </c>
      <c r="M50" s="13" t="s">
        <v>192</v>
      </c>
      <c r="N50" s="197">
        <v>43647</v>
      </c>
      <c r="O50" s="16">
        <v>45839</v>
      </c>
      <c r="P50" s="13">
        <v>461795.32</v>
      </c>
      <c r="Q50" s="242" t="e">
        <v>#VALUE!</v>
      </c>
    </row>
    <row r="51" spans="1:17" x14ac:dyDescent="0.2">
      <c r="A51" s="4" t="s">
        <v>58</v>
      </c>
      <c r="B51" s="13">
        <v>243764651</v>
      </c>
      <c r="C51" s="13">
        <v>234765473.88999999</v>
      </c>
      <c r="D51" s="13">
        <v>8999177.1100000143</v>
      </c>
      <c r="E51" s="13">
        <v>5196117.1900000004</v>
      </c>
      <c r="F51" s="13">
        <v>5561418</v>
      </c>
      <c r="G51" s="14">
        <v>1.62</v>
      </c>
      <c r="H51" s="14">
        <v>0.93</v>
      </c>
      <c r="I51" s="13">
        <v>433009.76583333337</v>
      </c>
      <c r="J51" s="15">
        <v>0</v>
      </c>
      <c r="K51" s="13">
        <v>8999177.1100000143</v>
      </c>
      <c r="L51" s="13" t="s">
        <v>192</v>
      </c>
      <c r="M51" s="13" t="s">
        <v>192</v>
      </c>
      <c r="N51" s="197">
        <v>43647</v>
      </c>
      <c r="O51" s="16">
        <v>45839</v>
      </c>
      <c r="P51" s="13">
        <v>0</v>
      </c>
      <c r="Q51" s="242" t="e">
        <v>#VALUE!</v>
      </c>
    </row>
    <row r="52" spans="1:17" x14ac:dyDescent="0.2">
      <c r="A52" s="4" t="s">
        <v>22</v>
      </c>
      <c r="B52" s="13">
        <v>78247436</v>
      </c>
      <c r="C52" s="13">
        <v>74540708.090000004</v>
      </c>
      <c r="D52" s="18">
        <v>3706727.9099999964</v>
      </c>
      <c r="E52" s="13">
        <v>2291683.06</v>
      </c>
      <c r="F52" s="13">
        <v>2776815</v>
      </c>
      <c r="G52" s="14">
        <v>1.33</v>
      </c>
      <c r="H52" s="14">
        <v>0.83</v>
      </c>
      <c r="I52" s="18">
        <v>190973.58833333335</v>
      </c>
      <c r="J52" s="15">
        <v>0</v>
      </c>
      <c r="K52" s="18">
        <v>3706727.9099999964</v>
      </c>
      <c r="L52" s="18" t="s">
        <v>192</v>
      </c>
      <c r="M52" s="18" t="s">
        <v>192</v>
      </c>
      <c r="N52" s="198">
        <v>43647</v>
      </c>
      <c r="O52" s="16">
        <v>45839</v>
      </c>
      <c r="P52" s="13">
        <v>0</v>
      </c>
      <c r="Q52" s="242" t="e">
        <v>#VALUE!</v>
      </c>
    </row>
    <row r="53" spans="1:17" x14ac:dyDescent="0.25">
      <c r="A53" s="36" t="s">
        <v>65</v>
      </c>
      <c r="B53" s="33">
        <v>44036420836.440002</v>
      </c>
      <c r="C53" s="13">
        <v>40907356411.68</v>
      </c>
      <c r="D53" s="33">
        <v>3129064424.7600021</v>
      </c>
      <c r="E53" s="13">
        <v>949018997.37</v>
      </c>
      <c r="F53" s="13">
        <v>983785270</v>
      </c>
      <c r="G53" s="14">
        <v>3.18</v>
      </c>
      <c r="H53" s="14">
        <v>0.96</v>
      </c>
      <c r="I53" s="33">
        <v>79084916.447500005</v>
      </c>
      <c r="J53" s="34"/>
      <c r="K53" s="35"/>
      <c r="L53" s="35"/>
      <c r="M53" s="35"/>
      <c r="N53" s="35"/>
      <c r="O53" s="35"/>
      <c r="P53" s="33">
        <v>68504512.779999986</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34</v>
      </c>
      <c r="H56" s="25"/>
    </row>
    <row r="57" spans="1:17" ht="27" customHeight="1" thickBot="1" x14ac:dyDescent="0.3">
      <c r="D57" s="248" t="s">
        <v>67</v>
      </c>
      <c r="E57" s="249"/>
      <c r="F57" s="249"/>
      <c r="G57" s="27"/>
      <c r="H57" s="28">
        <v>33</v>
      </c>
    </row>
  </sheetData>
  <mergeCells count="2">
    <mergeCell ref="D56:F56"/>
    <mergeCell ref="D57:F57"/>
  </mergeCells>
  <conditionalFormatting sqref="G54">
    <cfRule type="cellIs" dxfId="153" priority="13" stopIfTrue="1" operator="greaterThan">
      <formula>2.5</formula>
    </cfRule>
    <cfRule type="cellIs" dxfId="152" priority="14" stopIfTrue="1" operator="between">
      <formula>2.01</formula>
      <formula>2.5</formula>
    </cfRule>
  </conditionalFormatting>
  <conditionalFormatting sqref="H3:H53">
    <cfRule type="cellIs" dxfId="151" priority="12" stopIfTrue="1" operator="lessThan">
      <formula>1</formula>
    </cfRule>
  </conditionalFormatting>
  <conditionalFormatting sqref="G3:G53">
    <cfRule type="cellIs" dxfId="150" priority="10" stopIfTrue="1" operator="greaterThan">
      <formula>2.5</formula>
    </cfRule>
    <cfRule type="cellIs" dxfId="149" priority="11" stopIfTrue="1" operator="between">
      <formula>2.01</formula>
      <formula>2.5</formula>
    </cfRule>
  </conditionalFormatting>
  <conditionalFormatting sqref="K3:K52">
    <cfRule type="cellIs" dxfId="148" priority="8" stopIfTrue="1" operator="greaterThan">
      <formula>$F3*2.5</formula>
    </cfRule>
    <cfRule type="cellIs" dxfId="147" priority="9" stopIfTrue="1" operator="between">
      <formula>$F3*2</formula>
      <formula>$F3*2.5</formula>
    </cfRule>
  </conditionalFormatting>
  <conditionalFormatting sqref="G54">
    <cfRule type="cellIs" dxfId="146" priority="6" stopIfTrue="1" operator="greaterThan">
      <formula>2.5</formula>
    </cfRule>
    <cfRule type="cellIs" dxfId="145" priority="7" stopIfTrue="1" operator="between">
      <formula>2.01</formula>
      <formula>2.5</formula>
    </cfRule>
  </conditionalFormatting>
  <conditionalFormatting sqref="H3:H53">
    <cfRule type="cellIs" dxfId="144" priority="5" stopIfTrue="1" operator="lessThan">
      <formula>1</formula>
    </cfRule>
  </conditionalFormatting>
  <conditionalFormatting sqref="G3:G53">
    <cfRule type="cellIs" dxfId="143" priority="3" stopIfTrue="1" operator="greaterThan">
      <formula>2.5</formula>
    </cfRule>
    <cfRule type="cellIs" dxfId="142" priority="4" stopIfTrue="1" operator="between">
      <formula>2.01</formula>
      <formula>2.5</formula>
    </cfRule>
  </conditionalFormatting>
  <conditionalFormatting sqref="K3:K52">
    <cfRule type="cellIs" dxfId="141" priority="1" stopIfTrue="1" operator="greaterThan">
      <formula>$F3*2.5</formula>
    </cfRule>
    <cfRule type="cellIs" dxfId="140"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5ED6B-9D20-49CC-9B23-CEE04E475D59}">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302</v>
      </c>
      <c r="B1" s="196" t="s">
        <v>303</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1161972037.8499999</v>
      </c>
      <c r="C3" s="13">
        <v>1015146142.12</v>
      </c>
      <c r="D3" s="13">
        <v>146825895.7299999</v>
      </c>
      <c r="E3" s="13">
        <v>26405656.219999999</v>
      </c>
      <c r="F3" s="13">
        <v>24581601</v>
      </c>
      <c r="G3" s="14">
        <v>5.97</v>
      </c>
      <c r="H3" s="14">
        <v>1.07</v>
      </c>
      <c r="I3" s="13">
        <v>2200471.3516666666</v>
      </c>
      <c r="J3" s="15">
        <v>0</v>
      </c>
      <c r="K3" s="13">
        <v>146825895.7299999</v>
      </c>
      <c r="L3" s="13" t="s">
        <v>193</v>
      </c>
      <c r="M3" s="13" t="s">
        <v>193</v>
      </c>
      <c r="N3" s="197">
        <v>43647</v>
      </c>
      <c r="O3" s="16">
        <v>45839</v>
      </c>
      <c r="P3" s="13">
        <v>4826217.24</v>
      </c>
      <c r="Q3" s="243" t="e">
        <v>#VALUE!</v>
      </c>
    </row>
    <row r="4" spans="1:17" x14ac:dyDescent="0.2">
      <c r="A4" s="4" t="s">
        <v>62</v>
      </c>
      <c r="B4" s="13">
        <v>722479384.32000005</v>
      </c>
      <c r="C4" s="13">
        <v>648945364.13999999</v>
      </c>
      <c r="D4" s="13">
        <v>73534020.180000067</v>
      </c>
      <c r="E4" s="13">
        <v>12184436.99</v>
      </c>
      <c r="F4" s="13">
        <v>13783001</v>
      </c>
      <c r="G4" s="14">
        <v>5.34</v>
      </c>
      <c r="H4" s="14">
        <v>0.88</v>
      </c>
      <c r="I4" s="13">
        <v>1015369.7491666666</v>
      </c>
      <c r="J4" s="15">
        <v>0</v>
      </c>
      <c r="K4" s="13">
        <v>73534020.180000067</v>
      </c>
      <c r="L4" s="13" t="s">
        <v>193</v>
      </c>
      <c r="M4" s="13" t="s">
        <v>193</v>
      </c>
      <c r="N4" s="197">
        <v>43647</v>
      </c>
      <c r="O4" s="16">
        <v>45839</v>
      </c>
      <c r="P4" s="13">
        <v>790603.22</v>
      </c>
      <c r="Q4" s="242" t="e">
        <v>#VALUE!</v>
      </c>
    </row>
    <row r="5" spans="1:17" x14ac:dyDescent="0.2">
      <c r="A5" s="4" t="s">
        <v>46</v>
      </c>
      <c r="B5" s="13">
        <v>1834758280.3599999</v>
      </c>
      <c r="C5" s="13">
        <v>1595524042.9200001</v>
      </c>
      <c r="D5" s="13">
        <v>239234237.43999982</v>
      </c>
      <c r="E5" s="13">
        <v>44277553.210000001</v>
      </c>
      <c r="F5" s="13">
        <v>46162390</v>
      </c>
      <c r="G5" s="14">
        <v>5.18</v>
      </c>
      <c r="H5" s="14">
        <v>0.96</v>
      </c>
      <c r="I5" s="13">
        <v>3689796.1008333336</v>
      </c>
      <c r="J5" s="15">
        <v>4</v>
      </c>
      <c r="K5" s="13">
        <v>224475053.03666648</v>
      </c>
      <c r="L5" s="13">
        <v>36727364.359999955</v>
      </c>
      <c r="M5" s="13">
        <v>30957065.609999955</v>
      </c>
      <c r="N5" s="197">
        <v>43831</v>
      </c>
      <c r="O5" s="16">
        <v>46023</v>
      </c>
      <c r="P5" s="13">
        <v>3786081.75</v>
      </c>
      <c r="Q5" s="242" t="e">
        <v>#VALUE!</v>
      </c>
    </row>
    <row r="6" spans="1:17" x14ac:dyDescent="0.2">
      <c r="A6" s="4" t="s">
        <v>35</v>
      </c>
      <c r="B6" s="13">
        <v>1503333344.97</v>
      </c>
      <c r="C6" s="13">
        <v>1342994797.23</v>
      </c>
      <c r="D6" s="13">
        <v>160338547.74000001</v>
      </c>
      <c r="E6" s="13">
        <v>41061959.119999997</v>
      </c>
      <c r="F6" s="13">
        <v>34090474</v>
      </c>
      <c r="G6" s="14">
        <v>4.7</v>
      </c>
      <c r="H6" s="14">
        <v>1.2</v>
      </c>
      <c r="I6" s="13">
        <v>3421829.9266666663</v>
      </c>
      <c r="J6" s="15">
        <v>0</v>
      </c>
      <c r="K6" s="13">
        <v>160338547.74000001</v>
      </c>
      <c r="L6" s="13" t="s">
        <v>193</v>
      </c>
      <c r="M6" s="13" t="s">
        <v>193</v>
      </c>
      <c r="N6" s="197">
        <v>43647</v>
      </c>
      <c r="O6" s="16">
        <v>45839</v>
      </c>
      <c r="P6" s="13">
        <v>20942784.870000001</v>
      </c>
      <c r="Q6" s="242" t="e">
        <v>#VALUE!</v>
      </c>
    </row>
    <row r="7" spans="1:17" x14ac:dyDescent="0.2">
      <c r="A7" s="4" t="s">
        <v>64</v>
      </c>
      <c r="B7" s="13">
        <v>124445693.39</v>
      </c>
      <c r="C7" s="13">
        <v>109626675.93000001</v>
      </c>
      <c r="D7" s="13">
        <v>14819017.459999993</v>
      </c>
      <c r="E7" s="13">
        <v>5025871.28</v>
      </c>
      <c r="F7" s="13">
        <v>3545933</v>
      </c>
      <c r="G7" s="14">
        <v>4.18</v>
      </c>
      <c r="H7" s="14">
        <v>1.42</v>
      </c>
      <c r="I7" s="13">
        <v>418822.60666666669</v>
      </c>
      <c r="J7" s="15">
        <v>4</v>
      </c>
      <c r="K7" s="13">
        <v>13143727.033333328</v>
      </c>
      <c r="L7" s="13">
        <v>1931787.8649999984</v>
      </c>
      <c r="M7" s="13">
        <v>1488546.2399999984</v>
      </c>
      <c r="N7" s="197">
        <v>43831</v>
      </c>
      <c r="O7" s="16">
        <v>46023</v>
      </c>
      <c r="P7" s="13">
        <v>10060.549999999999</v>
      </c>
      <c r="Q7" s="242" t="e">
        <v>#VALUE!</v>
      </c>
    </row>
    <row r="8" spans="1:17" x14ac:dyDescent="0.2">
      <c r="A8" s="4" t="s">
        <v>44</v>
      </c>
      <c r="B8" s="13">
        <v>504504813</v>
      </c>
      <c r="C8" s="13">
        <v>460324746.99000001</v>
      </c>
      <c r="D8" s="13">
        <v>44180066.00999999</v>
      </c>
      <c r="E8" s="13">
        <v>9578155.8200000003</v>
      </c>
      <c r="F8" s="13">
        <v>10946097</v>
      </c>
      <c r="G8" s="14">
        <v>4.04</v>
      </c>
      <c r="H8" s="14">
        <v>0.88</v>
      </c>
      <c r="I8" s="13">
        <v>798179.65166666673</v>
      </c>
      <c r="J8" s="15">
        <v>4</v>
      </c>
      <c r="K8" s="13">
        <v>40987347.403333321</v>
      </c>
      <c r="L8" s="13">
        <v>5571968.0024999976</v>
      </c>
      <c r="M8" s="13">
        <v>4203705.8774999976</v>
      </c>
      <c r="N8" s="197">
        <v>43831</v>
      </c>
      <c r="O8" s="16">
        <v>46023</v>
      </c>
      <c r="P8" s="13">
        <v>1760095.38</v>
      </c>
      <c r="Q8" s="242" t="e">
        <v>#VALUE!</v>
      </c>
    </row>
    <row r="9" spans="1:17" x14ac:dyDescent="0.2">
      <c r="A9" s="4" t="s">
        <v>30</v>
      </c>
      <c r="B9" s="13">
        <v>1194714205.73</v>
      </c>
      <c r="C9" s="13">
        <v>1088978441.95</v>
      </c>
      <c r="D9" s="13">
        <v>105735763.77999997</v>
      </c>
      <c r="E9" s="13">
        <v>21164636.870000001</v>
      </c>
      <c r="F9" s="13">
        <v>26571929</v>
      </c>
      <c r="G9" s="14">
        <v>3.98</v>
      </c>
      <c r="H9" s="14">
        <v>0.8</v>
      </c>
      <c r="I9" s="13">
        <v>1763719.7391666668</v>
      </c>
      <c r="J9" s="15">
        <v>0</v>
      </c>
      <c r="K9" s="13">
        <v>105735763.77999997</v>
      </c>
      <c r="L9" s="13" t="s">
        <v>193</v>
      </c>
      <c r="M9" s="13" t="s">
        <v>193</v>
      </c>
      <c r="N9" s="197">
        <v>43647</v>
      </c>
      <c r="O9" s="16">
        <v>45839</v>
      </c>
      <c r="P9" s="13">
        <v>1024039</v>
      </c>
      <c r="Q9" s="242" t="e">
        <v>#VALUE!</v>
      </c>
    </row>
    <row r="10" spans="1:17" x14ac:dyDescent="0.2">
      <c r="A10" s="4" t="s">
        <v>36</v>
      </c>
      <c r="B10" s="13">
        <v>872347192</v>
      </c>
      <c r="C10" s="13">
        <v>796510570.62</v>
      </c>
      <c r="D10" s="13">
        <v>75836621.379999995</v>
      </c>
      <c r="E10" s="13">
        <v>18058359</v>
      </c>
      <c r="F10" s="13">
        <v>19090913</v>
      </c>
      <c r="G10" s="14">
        <v>3.97</v>
      </c>
      <c r="H10" s="14">
        <v>0.95</v>
      </c>
      <c r="I10" s="13">
        <v>1504863.25</v>
      </c>
      <c r="J10" s="15">
        <v>1</v>
      </c>
      <c r="K10" s="13">
        <v>74331758.129999995</v>
      </c>
      <c r="L10" s="13">
        <v>37654795.379999995</v>
      </c>
      <c r="M10" s="13">
        <v>28109338.879999995</v>
      </c>
      <c r="N10" s="197">
        <v>43739</v>
      </c>
      <c r="O10" s="16">
        <v>45931</v>
      </c>
      <c r="P10" s="13">
        <v>1255789.99</v>
      </c>
      <c r="Q10" s="242" t="e">
        <v>#VALUE!</v>
      </c>
    </row>
    <row r="11" spans="1:17" x14ac:dyDescent="0.2">
      <c r="A11" s="4" t="s">
        <v>52</v>
      </c>
      <c r="B11" s="13">
        <v>1966895481</v>
      </c>
      <c r="C11" s="13">
        <v>1882153635.5599999</v>
      </c>
      <c r="D11" s="13">
        <v>84741845.440000057</v>
      </c>
      <c r="E11" s="13">
        <v>21867510.68</v>
      </c>
      <c r="F11" s="13">
        <v>21788490</v>
      </c>
      <c r="G11" s="14">
        <v>3.89</v>
      </c>
      <c r="H11" s="14">
        <v>1</v>
      </c>
      <c r="I11" s="13">
        <v>1822292.5566666666</v>
      </c>
      <c r="J11" s="15">
        <v>0</v>
      </c>
      <c r="K11" s="13">
        <v>84741845.440000057</v>
      </c>
      <c r="L11" s="13" t="s">
        <v>193</v>
      </c>
      <c r="M11" s="13" t="s">
        <v>193</v>
      </c>
      <c r="N11" s="197">
        <v>43647</v>
      </c>
      <c r="O11" s="16">
        <v>45839</v>
      </c>
      <c r="P11" s="13">
        <v>2746193.9</v>
      </c>
      <c r="Q11" s="242" t="e">
        <v>#VALUE!</v>
      </c>
    </row>
    <row r="12" spans="1:17" x14ac:dyDescent="0.2">
      <c r="A12" s="4" t="s">
        <v>40</v>
      </c>
      <c r="B12" s="13">
        <v>511163315.91000003</v>
      </c>
      <c r="C12" s="13">
        <v>470104095.80000001</v>
      </c>
      <c r="D12" s="13">
        <v>41059220.110000014</v>
      </c>
      <c r="E12" s="13">
        <v>7803912.29</v>
      </c>
      <c r="F12" s="13">
        <v>10598087</v>
      </c>
      <c r="G12" s="14">
        <v>3.87</v>
      </c>
      <c r="H12" s="14">
        <v>0.74</v>
      </c>
      <c r="I12" s="13">
        <v>650326.02416666667</v>
      </c>
      <c r="J12" s="15">
        <v>0</v>
      </c>
      <c r="K12" s="13">
        <v>41059220.110000014</v>
      </c>
      <c r="L12" s="13" t="s">
        <v>193</v>
      </c>
      <c r="M12" s="13" t="s">
        <v>193</v>
      </c>
      <c r="N12" s="197">
        <v>43647</v>
      </c>
      <c r="O12" s="16">
        <v>45839</v>
      </c>
      <c r="P12" s="13">
        <v>1292762.75</v>
      </c>
      <c r="Q12" s="242" t="e">
        <v>#VALUE!</v>
      </c>
    </row>
    <row r="13" spans="1:17" x14ac:dyDescent="0.2">
      <c r="A13" s="4" t="s">
        <v>60</v>
      </c>
      <c r="B13" s="13">
        <v>813673223</v>
      </c>
      <c r="C13" s="13">
        <v>739274324.88</v>
      </c>
      <c r="D13" s="13">
        <v>74398898.120000005</v>
      </c>
      <c r="E13" s="13">
        <v>14451451.42</v>
      </c>
      <c r="F13" s="13">
        <v>19453948</v>
      </c>
      <c r="G13" s="14">
        <v>3.82</v>
      </c>
      <c r="H13" s="14">
        <v>0.74</v>
      </c>
      <c r="I13" s="13">
        <v>1204287.6183333334</v>
      </c>
      <c r="J13" s="15">
        <v>0</v>
      </c>
      <c r="K13" s="13">
        <v>74398898.120000005</v>
      </c>
      <c r="L13" s="13" t="s">
        <v>193</v>
      </c>
      <c r="M13" s="13" t="s">
        <v>193</v>
      </c>
      <c r="N13" s="197">
        <v>43647</v>
      </c>
      <c r="O13" s="16">
        <v>45839</v>
      </c>
      <c r="P13" s="13">
        <v>2169197.15</v>
      </c>
      <c r="Q13" s="242" t="e">
        <v>#VALUE!</v>
      </c>
    </row>
    <row r="14" spans="1:17" x14ac:dyDescent="0.2">
      <c r="A14" s="4" t="s">
        <v>26</v>
      </c>
      <c r="B14" s="13">
        <v>1365257298.0599999</v>
      </c>
      <c r="C14" s="13">
        <v>1260106221.4200001</v>
      </c>
      <c r="D14" s="13">
        <v>105151076.63999987</v>
      </c>
      <c r="E14" s="13">
        <v>58505004.170000002</v>
      </c>
      <c r="F14" s="13">
        <v>28988172</v>
      </c>
      <c r="G14" s="14">
        <v>3.63</v>
      </c>
      <c r="H14" s="14">
        <v>2.02</v>
      </c>
      <c r="I14" s="13">
        <v>4875417.0141666671</v>
      </c>
      <c r="J14" s="15">
        <v>4</v>
      </c>
      <c r="K14" s="13">
        <v>85649408.583333194</v>
      </c>
      <c r="L14" s="13">
        <v>11793683.159999967</v>
      </c>
      <c r="M14" s="13">
        <v>8170161.6599999666</v>
      </c>
      <c r="N14" s="197">
        <v>43831</v>
      </c>
      <c r="O14" s="16">
        <v>46023</v>
      </c>
      <c r="P14" s="13">
        <v>5786766.9199999999</v>
      </c>
      <c r="Q14" s="242" t="e">
        <v>#VALUE!</v>
      </c>
    </row>
    <row r="15" spans="1:17" x14ac:dyDescent="0.2">
      <c r="A15" s="4" t="s">
        <v>39</v>
      </c>
      <c r="B15" s="13">
        <v>271317340</v>
      </c>
      <c r="C15" s="13">
        <v>248872407.38999999</v>
      </c>
      <c r="D15" s="13">
        <v>22444932.610000014</v>
      </c>
      <c r="E15" s="13">
        <v>6296102.79</v>
      </c>
      <c r="F15" s="13">
        <v>6196840</v>
      </c>
      <c r="G15" s="14">
        <v>3.62</v>
      </c>
      <c r="H15" s="14">
        <v>1.02</v>
      </c>
      <c r="I15" s="13">
        <v>524675.23250000004</v>
      </c>
      <c r="J15" s="15">
        <v>7</v>
      </c>
      <c r="K15" s="13">
        <v>18772205.982500013</v>
      </c>
      <c r="L15" s="13">
        <v>1435893.2300000021</v>
      </c>
      <c r="M15" s="13">
        <v>993261.80142857344</v>
      </c>
      <c r="N15" s="197">
        <v>43922</v>
      </c>
      <c r="O15" s="16">
        <v>46113</v>
      </c>
      <c r="P15" s="13">
        <v>641054.71999999997</v>
      </c>
      <c r="Q15" s="242" t="e">
        <v>#VALUE!</v>
      </c>
    </row>
    <row r="16" spans="1:17" x14ac:dyDescent="0.2">
      <c r="A16" s="4" t="s">
        <v>16</v>
      </c>
      <c r="B16" s="13">
        <v>107063879</v>
      </c>
      <c r="C16" s="13">
        <v>97440705.670000002</v>
      </c>
      <c r="D16" s="13">
        <v>9623173.3299999982</v>
      </c>
      <c r="E16" s="13">
        <v>2058619.68</v>
      </c>
      <c r="F16" s="13">
        <v>2669761</v>
      </c>
      <c r="G16" s="14">
        <v>3.6</v>
      </c>
      <c r="H16" s="14">
        <v>0.77</v>
      </c>
      <c r="I16" s="13">
        <v>171551.63999999998</v>
      </c>
      <c r="J16" s="15">
        <v>0</v>
      </c>
      <c r="K16" s="13">
        <v>9623173.3299999982</v>
      </c>
      <c r="L16" s="13" t="s">
        <v>193</v>
      </c>
      <c r="M16" s="13" t="s">
        <v>193</v>
      </c>
      <c r="N16" s="197">
        <v>43647</v>
      </c>
      <c r="O16" s="16">
        <v>45839</v>
      </c>
      <c r="P16" s="13">
        <v>12455.37</v>
      </c>
      <c r="Q16" s="242" t="e">
        <v>#VALUE!</v>
      </c>
    </row>
    <row r="17" spans="1:17" x14ac:dyDescent="0.2">
      <c r="A17" s="4" t="s">
        <v>43</v>
      </c>
      <c r="B17" s="13">
        <v>307409614.24000001</v>
      </c>
      <c r="C17" s="13">
        <v>282638964.76999998</v>
      </c>
      <c r="D17" s="13">
        <v>24770649.470000029</v>
      </c>
      <c r="E17" s="13">
        <v>4533537.8099999996</v>
      </c>
      <c r="F17" s="13">
        <v>6878551</v>
      </c>
      <c r="G17" s="14">
        <v>3.6</v>
      </c>
      <c r="H17" s="14">
        <v>0.66</v>
      </c>
      <c r="I17" s="13">
        <v>377794.81749999995</v>
      </c>
      <c r="J17" s="15">
        <v>0</v>
      </c>
      <c r="K17" s="13">
        <v>24770649.470000029</v>
      </c>
      <c r="L17" s="13" t="s">
        <v>193</v>
      </c>
      <c r="M17" s="13" t="s">
        <v>193</v>
      </c>
      <c r="N17" s="197">
        <v>43647</v>
      </c>
      <c r="O17" s="16">
        <v>45839</v>
      </c>
      <c r="P17" s="13">
        <v>223990.31</v>
      </c>
      <c r="Q17" s="242" t="e">
        <v>#VALUE!</v>
      </c>
    </row>
    <row r="18" spans="1:17" x14ac:dyDescent="0.2">
      <c r="A18" s="4" t="s">
        <v>53</v>
      </c>
      <c r="B18" s="13">
        <v>208940278.25</v>
      </c>
      <c r="C18" s="13">
        <v>188340078.22</v>
      </c>
      <c r="D18" s="13">
        <v>20600200.030000001</v>
      </c>
      <c r="E18" s="13">
        <v>6599048.5499999998</v>
      </c>
      <c r="F18" s="13">
        <v>5755637</v>
      </c>
      <c r="G18" s="14">
        <v>3.58</v>
      </c>
      <c r="H18" s="14">
        <v>1.1499999999999999</v>
      </c>
      <c r="I18" s="13">
        <v>549920.71250000002</v>
      </c>
      <c r="J18" s="15">
        <v>0</v>
      </c>
      <c r="K18" s="13">
        <v>20600200.030000001</v>
      </c>
      <c r="L18" s="13" t="s">
        <v>193</v>
      </c>
      <c r="M18" s="13" t="s">
        <v>193</v>
      </c>
      <c r="N18" s="197">
        <v>43647</v>
      </c>
      <c r="O18" s="16">
        <v>45839</v>
      </c>
      <c r="P18" s="13">
        <v>274106.3</v>
      </c>
      <c r="Q18" s="242" t="e">
        <v>#VALUE!</v>
      </c>
    </row>
    <row r="19" spans="1:17" x14ac:dyDescent="0.2">
      <c r="A19" s="4" t="s">
        <v>20</v>
      </c>
      <c r="B19" s="13">
        <v>402118853.93000001</v>
      </c>
      <c r="C19" s="13">
        <v>370252639.94</v>
      </c>
      <c r="D19" s="13">
        <v>31866213.99000001</v>
      </c>
      <c r="E19" s="13">
        <v>7291755.9299999997</v>
      </c>
      <c r="F19" s="13">
        <v>9522686</v>
      </c>
      <c r="G19" s="14">
        <v>3.35</v>
      </c>
      <c r="H19" s="14">
        <v>0.77</v>
      </c>
      <c r="I19" s="13">
        <v>607646.32750000001</v>
      </c>
      <c r="J19" s="15">
        <v>7</v>
      </c>
      <c r="K19" s="13">
        <v>27612689.697500009</v>
      </c>
      <c r="L19" s="13">
        <v>1831548.8557142871</v>
      </c>
      <c r="M19" s="13">
        <v>1151356.9985714299</v>
      </c>
      <c r="N19" s="197">
        <v>43556</v>
      </c>
      <c r="O19" s="16">
        <v>46113</v>
      </c>
      <c r="P19" s="13">
        <v>342093.78</v>
      </c>
      <c r="Q19" s="242" t="e">
        <v>#VALUE!</v>
      </c>
    </row>
    <row r="20" spans="1:17" x14ac:dyDescent="0.2">
      <c r="A20" s="4" t="s">
        <v>54</v>
      </c>
      <c r="B20" s="13">
        <v>1042589157.45</v>
      </c>
      <c r="C20" s="13">
        <v>976373011.95000005</v>
      </c>
      <c r="D20" s="13">
        <v>66216145.5</v>
      </c>
      <c r="E20" s="13">
        <v>20904692.75</v>
      </c>
      <c r="F20" s="13">
        <v>20158365</v>
      </c>
      <c r="G20" s="14">
        <v>3.28</v>
      </c>
      <c r="H20" s="14">
        <v>1.04</v>
      </c>
      <c r="I20" s="13">
        <v>1742057.7291666667</v>
      </c>
      <c r="J20" s="15">
        <v>7</v>
      </c>
      <c r="K20" s="13">
        <v>54021741.395833328</v>
      </c>
      <c r="L20" s="13">
        <v>3699916.5</v>
      </c>
      <c r="M20" s="13">
        <v>2260033.2857142859</v>
      </c>
      <c r="N20" s="197">
        <v>43922</v>
      </c>
      <c r="O20" s="16">
        <v>46113</v>
      </c>
      <c r="P20" s="13">
        <v>1576147</v>
      </c>
      <c r="Q20" s="242" t="e">
        <v>#VALUE!</v>
      </c>
    </row>
    <row r="21" spans="1:17" x14ac:dyDescent="0.2">
      <c r="A21" s="4" t="s">
        <v>38</v>
      </c>
      <c r="B21" s="13">
        <v>1033187132</v>
      </c>
      <c r="C21" s="13">
        <v>960632837.23000002</v>
      </c>
      <c r="D21" s="13">
        <v>72554294.769999981</v>
      </c>
      <c r="E21" s="13">
        <v>23389578.289999999</v>
      </c>
      <c r="F21" s="13">
        <v>22862412</v>
      </c>
      <c r="G21" s="14">
        <v>3.17</v>
      </c>
      <c r="H21" s="14">
        <v>1.02</v>
      </c>
      <c r="I21" s="13">
        <v>1949131.5241666667</v>
      </c>
      <c r="J21" s="15">
        <v>7</v>
      </c>
      <c r="K21" s="13">
        <v>58910374.100833312</v>
      </c>
      <c r="L21" s="13">
        <v>3832781.5385714257</v>
      </c>
      <c r="M21" s="13">
        <v>2199752.1099999971</v>
      </c>
      <c r="N21" s="197">
        <v>43922</v>
      </c>
      <c r="O21" s="16">
        <v>46113</v>
      </c>
      <c r="P21" s="13">
        <v>2340974.48</v>
      </c>
      <c r="Q21" s="242" t="e">
        <v>#VALUE!</v>
      </c>
    </row>
    <row r="22" spans="1:17" x14ac:dyDescent="0.2">
      <c r="A22" s="4" t="s">
        <v>28</v>
      </c>
      <c r="B22" s="13">
        <v>1083940953</v>
      </c>
      <c r="C22" s="13">
        <v>1009396512.92</v>
      </c>
      <c r="D22" s="13">
        <v>74544440.080000043</v>
      </c>
      <c r="E22" s="13">
        <v>17821212.66</v>
      </c>
      <c r="F22" s="13">
        <v>24208645</v>
      </c>
      <c r="G22" s="14">
        <v>3.08</v>
      </c>
      <c r="H22" s="14">
        <v>0.74</v>
      </c>
      <c r="I22" s="13">
        <v>1485101.0549999999</v>
      </c>
      <c r="J22" s="15">
        <v>4</v>
      </c>
      <c r="K22" s="13">
        <v>68604035.860000044</v>
      </c>
      <c r="L22" s="13">
        <v>6531787.5200000107</v>
      </c>
      <c r="M22" s="13">
        <v>3505706.8950000107</v>
      </c>
      <c r="N22" s="197">
        <v>43831</v>
      </c>
      <c r="O22" s="16">
        <v>46023</v>
      </c>
      <c r="P22" s="13">
        <v>2109935</v>
      </c>
      <c r="Q22" s="242" t="e">
        <v>#VALUE!</v>
      </c>
    </row>
    <row r="23" spans="1:17" x14ac:dyDescent="0.2">
      <c r="A23" s="4" t="s">
        <v>33</v>
      </c>
      <c r="B23" s="13">
        <v>321862947.48000002</v>
      </c>
      <c r="C23" s="13">
        <v>299154589.58999997</v>
      </c>
      <c r="D23" s="13">
        <v>22708357.890000045</v>
      </c>
      <c r="E23" s="13">
        <v>7172260.6299999999</v>
      </c>
      <c r="F23" s="13">
        <v>7416560</v>
      </c>
      <c r="G23" s="14">
        <v>3.06</v>
      </c>
      <c r="H23" s="14">
        <v>0.97</v>
      </c>
      <c r="I23" s="13">
        <v>597688.38583333336</v>
      </c>
      <c r="J23" s="15">
        <v>0</v>
      </c>
      <c r="K23" s="13">
        <v>22708357.890000045</v>
      </c>
      <c r="L23" s="13" t="s">
        <v>193</v>
      </c>
      <c r="M23" s="13" t="s">
        <v>193</v>
      </c>
      <c r="N23" s="197">
        <v>43647</v>
      </c>
      <c r="O23" s="16">
        <v>45839</v>
      </c>
      <c r="P23" s="13">
        <v>116797.05</v>
      </c>
      <c r="Q23" s="242" t="e">
        <v>#VALUE!</v>
      </c>
    </row>
    <row r="24" spans="1:17" x14ac:dyDescent="0.2">
      <c r="A24" s="4" t="s">
        <v>47</v>
      </c>
      <c r="B24" s="13">
        <v>190999038.36000001</v>
      </c>
      <c r="C24" s="13">
        <v>180269876.75999999</v>
      </c>
      <c r="D24" s="13">
        <v>10729161.600000024</v>
      </c>
      <c r="E24" s="13">
        <v>6510097.4299999997</v>
      </c>
      <c r="F24" s="13">
        <v>3551615</v>
      </c>
      <c r="G24" s="14">
        <v>3.02</v>
      </c>
      <c r="H24" s="14">
        <v>1.83</v>
      </c>
      <c r="I24" s="13">
        <v>542508.11916666664</v>
      </c>
      <c r="J24" s="15">
        <v>0</v>
      </c>
      <c r="K24" s="13">
        <v>10729161.600000024</v>
      </c>
      <c r="L24" s="13" t="s">
        <v>193</v>
      </c>
      <c r="M24" s="13" t="s">
        <v>193</v>
      </c>
      <c r="N24" s="197">
        <v>43647</v>
      </c>
      <c r="O24" s="16">
        <v>45839</v>
      </c>
      <c r="P24" s="13">
        <v>669744.68999999994</v>
      </c>
      <c r="Q24" s="242" t="e">
        <v>#VALUE!</v>
      </c>
    </row>
    <row r="25" spans="1:17" x14ac:dyDescent="0.2">
      <c r="A25" s="4" t="s">
        <v>29</v>
      </c>
      <c r="B25" s="13">
        <v>689945660</v>
      </c>
      <c r="C25" s="13">
        <v>645265701.83000004</v>
      </c>
      <c r="D25" s="13">
        <v>44679958.169999957</v>
      </c>
      <c r="E25" s="13">
        <v>11094673.59</v>
      </c>
      <c r="F25" s="13">
        <v>14901309</v>
      </c>
      <c r="G25" s="14">
        <v>3</v>
      </c>
      <c r="H25" s="14">
        <v>0.74</v>
      </c>
      <c r="I25" s="13">
        <v>924556.13249999995</v>
      </c>
      <c r="J25" s="15">
        <v>4</v>
      </c>
      <c r="K25" s="13">
        <v>40981733.639999956</v>
      </c>
      <c r="L25" s="13">
        <v>3719335.0424999893</v>
      </c>
      <c r="M25" s="13">
        <v>1856671.4174999893</v>
      </c>
      <c r="N25" s="197">
        <v>43466</v>
      </c>
      <c r="O25" s="16">
        <v>46023</v>
      </c>
      <c r="P25" s="13">
        <v>2074879.43</v>
      </c>
      <c r="Q25" s="242" t="e">
        <v>#VALUE!</v>
      </c>
    </row>
    <row r="26" spans="1:17" x14ac:dyDescent="0.2">
      <c r="A26" s="4" t="s">
        <v>19</v>
      </c>
      <c r="B26" s="13">
        <v>1468177330.9100001</v>
      </c>
      <c r="C26" s="13">
        <v>1379544771.5999999</v>
      </c>
      <c r="D26" s="13">
        <v>88632559.310000181</v>
      </c>
      <c r="E26" s="13">
        <v>50598006.549999997</v>
      </c>
      <c r="F26" s="13">
        <v>29748591</v>
      </c>
      <c r="G26" s="14">
        <v>2.98</v>
      </c>
      <c r="H26" s="14">
        <v>1.7</v>
      </c>
      <c r="I26" s="13">
        <v>4216500.5458333334</v>
      </c>
      <c r="J26" s="15">
        <v>0</v>
      </c>
      <c r="K26" s="13">
        <v>88632559.310000181</v>
      </c>
      <c r="L26" s="13" t="s">
        <v>193</v>
      </c>
      <c r="M26" s="13" t="s">
        <v>193</v>
      </c>
      <c r="N26" s="197">
        <v>43647</v>
      </c>
      <c r="O26" s="16">
        <v>45839</v>
      </c>
      <c r="P26" s="13">
        <v>1563129.1</v>
      </c>
      <c r="Q26" s="242" t="e">
        <v>#VALUE!</v>
      </c>
    </row>
    <row r="27" spans="1:17" x14ac:dyDescent="0.2">
      <c r="A27" s="4" t="s">
        <v>45</v>
      </c>
      <c r="B27" s="13">
        <v>1276422533.53</v>
      </c>
      <c r="C27" s="13">
        <v>1134591045.28</v>
      </c>
      <c r="D27" s="13">
        <v>141831488.25</v>
      </c>
      <c r="E27" s="13">
        <v>42380878.159999996</v>
      </c>
      <c r="F27" s="13">
        <v>47644860</v>
      </c>
      <c r="G27" s="14">
        <v>2.98</v>
      </c>
      <c r="H27" s="14">
        <v>0.89</v>
      </c>
      <c r="I27" s="13">
        <v>3531739.8466666662</v>
      </c>
      <c r="J27" s="15">
        <v>4</v>
      </c>
      <c r="K27" s="13">
        <v>127704528.86333333</v>
      </c>
      <c r="L27" s="13">
        <v>11635442.0625</v>
      </c>
      <c r="M27" s="13">
        <v>5679834.5625</v>
      </c>
      <c r="N27" s="197">
        <v>43831</v>
      </c>
      <c r="O27" s="16">
        <v>46023</v>
      </c>
      <c r="P27" s="13">
        <v>3923962.28</v>
      </c>
      <c r="Q27" s="242" t="e">
        <v>#VALUE!</v>
      </c>
    </row>
    <row r="28" spans="1:17" x14ac:dyDescent="0.2">
      <c r="A28" s="4" t="s">
        <v>55</v>
      </c>
      <c r="B28" s="13">
        <v>259883413</v>
      </c>
      <c r="C28" s="13">
        <v>243099732.75</v>
      </c>
      <c r="D28" s="13">
        <v>16783680.25</v>
      </c>
      <c r="E28" s="13">
        <v>6487529.0499999998</v>
      </c>
      <c r="F28" s="13">
        <v>5643956</v>
      </c>
      <c r="G28" s="14">
        <v>2.97</v>
      </c>
      <c r="H28" s="14">
        <v>1.1499999999999999</v>
      </c>
      <c r="I28" s="13">
        <v>540627.42083333328</v>
      </c>
      <c r="J28" s="15">
        <v>4</v>
      </c>
      <c r="K28" s="13">
        <v>14621170.566666666</v>
      </c>
      <c r="L28" s="13">
        <v>1373942.0625</v>
      </c>
      <c r="M28" s="13">
        <v>668447.5625</v>
      </c>
      <c r="N28" s="197">
        <v>43831</v>
      </c>
      <c r="O28" s="16">
        <v>46023</v>
      </c>
      <c r="P28" s="13">
        <v>0</v>
      </c>
      <c r="Q28" s="242" t="e">
        <v>#VALUE!</v>
      </c>
    </row>
    <row r="29" spans="1:17" x14ac:dyDescent="0.2">
      <c r="A29" s="4" t="s">
        <v>51</v>
      </c>
      <c r="B29" s="13">
        <v>2041893568.29</v>
      </c>
      <c r="C29" s="13">
        <v>1921276103.72</v>
      </c>
      <c r="D29" s="13">
        <v>120617464.56999993</v>
      </c>
      <c r="E29" s="13">
        <v>40044512.909999996</v>
      </c>
      <c r="F29" s="13">
        <v>40828727</v>
      </c>
      <c r="G29" s="14">
        <v>2.95</v>
      </c>
      <c r="H29" s="14">
        <v>0.98</v>
      </c>
      <c r="I29" s="13">
        <v>3337042.7424999997</v>
      </c>
      <c r="J29" s="15">
        <v>4</v>
      </c>
      <c r="K29" s="13">
        <v>107269293.59999993</v>
      </c>
      <c r="L29" s="13">
        <v>9740002.6424999833</v>
      </c>
      <c r="M29" s="13">
        <v>4636411.7674999833</v>
      </c>
      <c r="N29" s="197">
        <v>43831</v>
      </c>
      <c r="O29" s="16">
        <v>46023</v>
      </c>
      <c r="P29" s="13">
        <v>2056952.35</v>
      </c>
      <c r="Q29" s="242" t="e">
        <v>#VALUE!</v>
      </c>
    </row>
    <row r="30" spans="1:17" x14ac:dyDescent="0.2">
      <c r="A30" s="4" t="s">
        <v>24</v>
      </c>
      <c r="B30" s="13">
        <v>1683242657.0699999</v>
      </c>
      <c r="C30" s="13">
        <v>1562771944.2</v>
      </c>
      <c r="D30" s="13">
        <v>120470712.86999989</v>
      </c>
      <c r="E30" s="13">
        <v>31384664.300000001</v>
      </c>
      <c r="F30" s="13">
        <v>40945091</v>
      </c>
      <c r="G30" s="14">
        <v>2.94</v>
      </c>
      <c r="H30" s="14">
        <v>0.77</v>
      </c>
      <c r="I30" s="13">
        <v>2615388.6916666669</v>
      </c>
      <c r="J30" s="15">
        <v>0</v>
      </c>
      <c r="K30" s="13">
        <v>120470712.86999989</v>
      </c>
      <c r="L30" s="13" t="s">
        <v>193</v>
      </c>
      <c r="M30" s="13" t="s">
        <v>193</v>
      </c>
      <c r="N30" s="197">
        <v>43647</v>
      </c>
      <c r="O30" s="16">
        <v>45839</v>
      </c>
      <c r="P30" s="13">
        <v>4288842.12</v>
      </c>
      <c r="Q30" s="242" t="e">
        <v>#VALUE!</v>
      </c>
    </row>
    <row r="31" spans="1:17" x14ac:dyDescent="0.2">
      <c r="A31" s="4" t="s">
        <v>37</v>
      </c>
      <c r="B31" s="13">
        <v>1263148065.8299999</v>
      </c>
      <c r="C31" s="13">
        <v>1193987438.8800001</v>
      </c>
      <c r="D31" s="13">
        <v>69160626.949999809</v>
      </c>
      <c r="E31" s="13">
        <v>21151319.77</v>
      </c>
      <c r="F31" s="13">
        <v>23759923</v>
      </c>
      <c r="G31" s="14">
        <v>2.91</v>
      </c>
      <c r="H31" s="14">
        <v>0.89</v>
      </c>
      <c r="I31" s="13">
        <v>1762609.9808333332</v>
      </c>
      <c r="J31" s="15">
        <v>0</v>
      </c>
      <c r="K31" s="13">
        <v>69160626.949999809</v>
      </c>
      <c r="L31" s="13" t="s">
        <v>193</v>
      </c>
      <c r="M31" s="13" t="s">
        <v>193</v>
      </c>
      <c r="N31" s="197">
        <v>43647</v>
      </c>
      <c r="O31" s="16">
        <v>45839</v>
      </c>
      <c r="P31" s="13">
        <v>4656982.9400000004</v>
      </c>
      <c r="Q31" s="242" t="e">
        <v>#VALUE!</v>
      </c>
    </row>
    <row r="32" spans="1:17" x14ac:dyDescent="0.2">
      <c r="A32" s="4" t="s">
        <v>18</v>
      </c>
      <c r="B32" s="13">
        <v>817050825.05999994</v>
      </c>
      <c r="C32" s="13">
        <v>767689315.22000003</v>
      </c>
      <c r="D32" s="13">
        <v>49361509.839999914</v>
      </c>
      <c r="E32" s="13">
        <v>27255333.899999999</v>
      </c>
      <c r="F32" s="13">
        <v>17644408</v>
      </c>
      <c r="G32" s="14">
        <v>2.8</v>
      </c>
      <c r="H32" s="14">
        <v>1.54</v>
      </c>
      <c r="I32" s="13">
        <v>2271277.8249999997</v>
      </c>
      <c r="J32" s="15">
        <v>0</v>
      </c>
      <c r="K32" s="13">
        <v>49361509.839999914</v>
      </c>
      <c r="L32" s="13" t="s">
        <v>193</v>
      </c>
      <c r="M32" s="13" t="s">
        <v>193</v>
      </c>
      <c r="N32" s="197">
        <v>43647</v>
      </c>
      <c r="O32" s="16">
        <v>45839</v>
      </c>
      <c r="P32" s="13">
        <v>1058560.67</v>
      </c>
      <c r="Q32" s="242" t="e">
        <v>#VALUE!</v>
      </c>
    </row>
    <row r="33" spans="1:17" x14ac:dyDescent="0.2">
      <c r="A33" s="4" t="s">
        <v>56</v>
      </c>
      <c r="B33" s="13">
        <v>1182377479</v>
      </c>
      <c r="C33" s="13">
        <v>1108850385.2</v>
      </c>
      <c r="D33" s="13">
        <v>73527093.799999952</v>
      </c>
      <c r="E33" s="13">
        <v>23337832.379999999</v>
      </c>
      <c r="F33" s="13">
        <v>27472066</v>
      </c>
      <c r="G33" s="14">
        <v>2.68</v>
      </c>
      <c r="H33" s="14">
        <v>0.85</v>
      </c>
      <c r="I33" s="13">
        <v>1944819.365</v>
      </c>
      <c r="J33" s="15">
        <v>0</v>
      </c>
      <c r="K33" s="13">
        <v>73527093.799999952</v>
      </c>
      <c r="L33" s="13" t="s">
        <v>193</v>
      </c>
      <c r="M33" s="13" t="s">
        <v>193</v>
      </c>
      <c r="N33" s="197">
        <v>43647</v>
      </c>
      <c r="O33" s="16">
        <v>45839</v>
      </c>
      <c r="P33" s="13">
        <v>1894766.06</v>
      </c>
      <c r="Q33" s="242" t="e">
        <v>#VALUE!</v>
      </c>
    </row>
    <row r="34" spans="1:17" x14ac:dyDescent="0.2">
      <c r="A34" s="4" t="s">
        <v>21</v>
      </c>
      <c r="B34" s="13">
        <v>542289730.02999997</v>
      </c>
      <c r="C34" s="13">
        <v>504988219.76999998</v>
      </c>
      <c r="D34" s="13">
        <v>37301510.25999999</v>
      </c>
      <c r="E34" s="13">
        <v>10481454.01</v>
      </c>
      <c r="F34" s="13">
        <v>13960891</v>
      </c>
      <c r="G34" s="14">
        <v>2.67</v>
      </c>
      <c r="H34" s="14">
        <v>0.75</v>
      </c>
      <c r="I34" s="13">
        <v>873454.50083333335</v>
      </c>
      <c r="J34" s="15">
        <v>0</v>
      </c>
      <c r="K34" s="13">
        <v>37301510.25999999</v>
      </c>
      <c r="L34" s="13" t="s">
        <v>193</v>
      </c>
      <c r="M34" s="13" t="s">
        <v>193</v>
      </c>
      <c r="N34" s="197">
        <v>43647</v>
      </c>
      <c r="O34" s="16">
        <v>45839</v>
      </c>
      <c r="P34" s="13">
        <v>2526595.7999999998</v>
      </c>
      <c r="Q34" s="242" t="e">
        <v>#VALUE!</v>
      </c>
    </row>
    <row r="35" spans="1:17" x14ac:dyDescent="0.2">
      <c r="A35" s="4" t="s">
        <v>57</v>
      </c>
      <c r="B35" s="13">
        <v>2950491414.54</v>
      </c>
      <c r="C35" s="13">
        <v>2780880370.48</v>
      </c>
      <c r="D35" s="13">
        <v>169611044.05999994</v>
      </c>
      <c r="E35" s="13">
        <v>62160000.950000003</v>
      </c>
      <c r="F35" s="13">
        <v>71178309</v>
      </c>
      <c r="G35" s="14">
        <v>2.38</v>
      </c>
      <c r="H35" s="14">
        <v>0.87</v>
      </c>
      <c r="I35" s="13">
        <v>5180000.0791666666</v>
      </c>
      <c r="J35" s="15">
        <v>0</v>
      </c>
      <c r="K35" s="13">
        <v>169611044.05999994</v>
      </c>
      <c r="L35" s="13" t="s">
        <v>193</v>
      </c>
      <c r="M35" s="13" t="s">
        <v>192</v>
      </c>
      <c r="N35" s="197">
        <v>44075</v>
      </c>
      <c r="O35" s="16">
        <v>45901</v>
      </c>
      <c r="P35" s="13">
        <v>4160377.88</v>
      </c>
      <c r="Q35" s="242" t="e">
        <v>#VALUE!</v>
      </c>
    </row>
    <row r="36" spans="1:17" x14ac:dyDescent="0.2">
      <c r="A36" s="4" t="s">
        <v>61</v>
      </c>
      <c r="B36" s="13">
        <v>535148479</v>
      </c>
      <c r="C36" s="13">
        <v>504110439.30000001</v>
      </c>
      <c r="D36" s="13">
        <v>31038039.699999988</v>
      </c>
      <c r="E36" s="13">
        <v>12570850.189999999</v>
      </c>
      <c r="F36" s="13">
        <v>13099382</v>
      </c>
      <c r="G36" s="14">
        <v>2.37</v>
      </c>
      <c r="H36" s="14">
        <v>0.96</v>
      </c>
      <c r="I36" s="13">
        <v>1047570.8491666666</v>
      </c>
      <c r="J36" s="15">
        <v>0</v>
      </c>
      <c r="K36" s="13">
        <v>31038039.699999988</v>
      </c>
      <c r="L36" s="13" t="s">
        <v>193</v>
      </c>
      <c r="M36" s="13" t="s">
        <v>192</v>
      </c>
      <c r="N36" s="197">
        <v>43647</v>
      </c>
      <c r="O36" s="16">
        <v>45839</v>
      </c>
      <c r="P36" s="13">
        <v>1990470.54</v>
      </c>
      <c r="Q36" s="242" t="e">
        <v>#VALUE!</v>
      </c>
    </row>
    <row r="37" spans="1:17" x14ac:dyDescent="0.2">
      <c r="A37" s="4" t="s">
        <v>42</v>
      </c>
      <c r="B37" s="13">
        <v>355494147</v>
      </c>
      <c r="C37" s="13">
        <v>333318984.22000003</v>
      </c>
      <c r="D37" s="13">
        <v>22175162.779999971</v>
      </c>
      <c r="E37" s="13">
        <v>10072492.43</v>
      </c>
      <c r="F37" s="13">
        <v>9435207</v>
      </c>
      <c r="G37" s="14">
        <v>2.35</v>
      </c>
      <c r="H37" s="14">
        <v>1.07</v>
      </c>
      <c r="I37" s="13">
        <v>839374.36916666664</v>
      </c>
      <c r="J37" s="15">
        <v>4</v>
      </c>
      <c r="K37" s="13">
        <v>18817665.303333305</v>
      </c>
      <c r="L37" s="13" t="s">
        <v>192</v>
      </c>
      <c r="M37" s="13" t="s">
        <v>192</v>
      </c>
      <c r="N37" s="197">
        <v>43831</v>
      </c>
      <c r="O37" s="16">
        <v>46023</v>
      </c>
      <c r="P37" s="13">
        <v>1147117.51</v>
      </c>
      <c r="Q37" s="242" t="e">
        <v>#VALUE!</v>
      </c>
    </row>
    <row r="38" spans="1:17" x14ac:dyDescent="0.2">
      <c r="A38" s="4" t="s">
        <v>15</v>
      </c>
      <c r="B38" s="13">
        <v>1108314599.5</v>
      </c>
      <c r="C38" s="13">
        <v>1055114413.16</v>
      </c>
      <c r="D38" s="13">
        <v>53200186.340000033</v>
      </c>
      <c r="E38" s="13">
        <v>19833519.52</v>
      </c>
      <c r="F38" s="13">
        <v>23039495</v>
      </c>
      <c r="G38" s="14">
        <v>2.31</v>
      </c>
      <c r="H38" s="14">
        <v>0.86</v>
      </c>
      <c r="I38" s="13">
        <v>1652793.2933333332</v>
      </c>
      <c r="J38" s="15">
        <v>7</v>
      </c>
      <c r="K38" s="13">
        <v>41630633.286666699</v>
      </c>
      <c r="L38" s="13" t="s">
        <v>192</v>
      </c>
      <c r="M38" s="13" t="s">
        <v>192</v>
      </c>
      <c r="N38" s="197">
        <v>43556</v>
      </c>
      <c r="O38" s="16">
        <v>46113</v>
      </c>
      <c r="P38" s="13">
        <v>839334.35</v>
      </c>
      <c r="Q38" s="242" t="e">
        <v>#VALUE!</v>
      </c>
    </row>
    <row r="39" spans="1:17" x14ac:dyDescent="0.2">
      <c r="A39" s="4" t="s">
        <v>27</v>
      </c>
      <c r="B39" s="13">
        <v>1340428223.5599999</v>
      </c>
      <c r="C39" s="13">
        <v>1269805987.22</v>
      </c>
      <c r="D39" s="13">
        <v>70622236.339999914</v>
      </c>
      <c r="E39" s="13">
        <v>24761165.350000001</v>
      </c>
      <c r="F39" s="13">
        <v>30689455</v>
      </c>
      <c r="G39" s="14">
        <v>2.2999999999999998</v>
      </c>
      <c r="H39" s="14">
        <v>0.81</v>
      </c>
      <c r="I39" s="13">
        <v>2063430.4458333335</v>
      </c>
      <c r="J39" s="15">
        <v>0</v>
      </c>
      <c r="K39" s="13">
        <v>70622236.339999914</v>
      </c>
      <c r="L39" s="13" t="s">
        <v>193</v>
      </c>
      <c r="M39" s="13" t="s">
        <v>192</v>
      </c>
      <c r="N39" s="197">
        <v>43647</v>
      </c>
      <c r="O39" s="16">
        <v>45839</v>
      </c>
      <c r="P39" s="13">
        <v>7299224.2000000002</v>
      </c>
      <c r="Q39" s="242" t="e">
        <v>#VALUE!</v>
      </c>
    </row>
    <row r="40" spans="1:17" x14ac:dyDescent="0.2">
      <c r="A40" s="4" t="s">
        <v>25</v>
      </c>
      <c r="B40" s="13">
        <v>351543186.45999998</v>
      </c>
      <c r="C40" s="13">
        <v>331914978.94999999</v>
      </c>
      <c r="D40" s="13">
        <v>19628207.50999999</v>
      </c>
      <c r="E40" s="13">
        <v>6661491.5899999999</v>
      </c>
      <c r="F40" s="13">
        <v>8658249</v>
      </c>
      <c r="G40" s="14">
        <v>2.27</v>
      </c>
      <c r="H40" s="14">
        <v>0.77</v>
      </c>
      <c r="I40" s="13">
        <v>555124.29916666669</v>
      </c>
      <c r="J40" s="15">
        <v>7</v>
      </c>
      <c r="K40" s="13">
        <v>15742337.415833324</v>
      </c>
      <c r="L40" s="13" t="s">
        <v>192</v>
      </c>
      <c r="M40" s="13" t="s">
        <v>192</v>
      </c>
      <c r="N40" s="197">
        <v>43556</v>
      </c>
      <c r="O40" s="16">
        <v>46113</v>
      </c>
      <c r="P40" s="13">
        <v>0</v>
      </c>
      <c r="Q40" s="242" t="e">
        <v>#VALUE!</v>
      </c>
    </row>
    <row r="41" spans="1:17" x14ac:dyDescent="0.2">
      <c r="A41" s="4" t="s">
        <v>31</v>
      </c>
      <c r="B41" s="13">
        <v>1227877221</v>
      </c>
      <c r="C41" s="13">
        <v>1176499192.46</v>
      </c>
      <c r="D41" s="13">
        <v>51378028.539999962</v>
      </c>
      <c r="E41" s="13">
        <v>19832080.989999998</v>
      </c>
      <c r="F41" s="13">
        <v>22761731</v>
      </c>
      <c r="G41" s="14">
        <v>2.2599999999999998</v>
      </c>
      <c r="H41" s="14">
        <v>0.87</v>
      </c>
      <c r="I41" s="13">
        <v>1652673.4158333333</v>
      </c>
      <c r="J41" s="15">
        <v>7</v>
      </c>
      <c r="K41" s="13">
        <v>39809314.629166633</v>
      </c>
      <c r="L41" s="13" t="s">
        <v>192</v>
      </c>
      <c r="M41" s="13" t="s">
        <v>192</v>
      </c>
      <c r="N41" s="197">
        <v>43922</v>
      </c>
      <c r="O41" s="16">
        <v>46113</v>
      </c>
      <c r="P41" s="13">
        <v>1571153.21</v>
      </c>
      <c r="Q41" s="242" t="e">
        <v>#VALUE!</v>
      </c>
    </row>
    <row r="42" spans="1:17" x14ac:dyDescent="0.2">
      <c r="A42" s="4" t="s">
        <v>59</v>
      </c>
      <c r="B42" s="13">
        <v>285086766</v>
      </c>
      <c r="C42" s="13">
        <v>269184291</v>
      </c>
      <c r="D42" s="13">
        <v>15902475</v>
      </c>
      <c r="E42" s="13">
        <v>4486149.97</v>
      </c>
      <c r="F42" s="13">
        <v>7485780</v>
      </c>
      <c r="G42" s="14">
        <v>2.12</v>
      </c>
      <c r="H42" s="14">
        <v>0.6</v>
      </c>
      <c r="I42" s="13">
        <v>373845.83083333331</v>
      </c>
      <c r="J42" s="15">
        <v>0</v>
      </c>
      <c r="K42" s="13">
        <v>15902475</v>
      </c>
      <c r="L42" s="13" t="s">
        <v>193</v>
      </c>
      <c r="M42" s="13" t="s">
        <v>192</v>
      </c>
      <c r="N42" s="197">
        <v>43647</v>
      </c>
      <c r="O42" s="16">
        <v>45839</v>
      </c>
      <c r="P42" s="13">
        <v>831149</v>
      </c>
      <c r="Q42" s="242" t="e">
        <v>#VALUE!</v>
      </c>
    </row>
    <row r="43" spans="1:17" x14ac:dyDescent="0.2">
      <c r="A43" s="4" t="s">
        <v>50</v>
      </c>
      <c r="B43" s="13">
        <v>557171086.30999994</v>
      </c>
      <c r="C43" s="13">
        <v>534008757.42000002</v>
      </c>
      <c r="D43" s="13">
        <v>23162328.889999926</v>
      </c>
      <c r="E43" s="13">
        <v>15413197.23</v>
      </c>
      <c r="F43" s="13">
        <v>11761407</v>
      </c>
      <c r="G43" s="14">
        <v>1.97</v>
      </c>
      <c r="H43" s="14">
        <v>1.31</v>
      </c>
      <c r="I43" s="13">
        <v>1284433.1025</v>
      </c>
      <c r="J43" s="15">
        <v>4</v>
      </c>
      <c r="K43" s="13">
        <v>18024596.479999926</v>
      </c>
      <c r="L43" s="13" t="s">
        <v>192</v>
      </c>
      <c r="M43" s="13" t="s">
        <v>192</v>
      </c>
      <c r="N43" s="197">
        <v>43831</v>
      </c>
      <c r="O43" s="16">
        <v>46023</v>
      </c>
      <c r="P43" s="13">
        <v>280342.51</v>
      </c>
      <c r="Q43" s="242" t="e">
        <v>#VALUE!</v>
      </c>
    </row>
    <row r="44" spans="1:17" x14ac:dyDescent="0.2">
      <c r="A44" s="4" t="s">
        <v>49</v>
      </c>
      <c r="B44" s="13">
        <v>699328036.19000006</v>
      </c>
      <c r="C44" s="13">
        <v>672179442.91999996</v>
      </c>
      <c r="D44" s="13">
        <v>27148593.2700001</v>
      </c>
      <c r="E44" s="13">
        <v>12532355.23</v>
      </c>
      <c r="F44" s="13">
        <v>14024709</v>
      </c>
      <c r="G44" s="14">
        <v>1.94</v>
      </c>
      <c r="H44" s="14">
        <v>0.89</v>
      </c>
      <c r="I44" s="13">
        <v>1044362.9358333334</v>
      </c>
      <c r="J44" s="15">
        <v>7</v>
      </c>
      <c r="K44" s="13">
        <v>19838052.719166767</v>
      </c>
      <c r="L44" s="13" t="s">
        <v>192</v>
      </c>
      <c r="M44" s="13" t="s">
        <v>192</v>
      </c>
      <c r="N44" s="197">
        <v>43922</v>
      </c>
      <c r="O44" s="16">
        <v>46113</v>
      </c>
      <c r="P44" s="13">
        <v>714040.21</v>
      </c>
      <c r="Q44" s="242" t="e">
        <v>#VALUE!</v>
      </c>
    </row>
    <row r="45" spans="1:17" x14ac:dyDescent="0.2">
      <c r="A45" s="4" t="s">
        <v>63</v>
      </c>
      <c r="B45" s="13">
        <v>1110426785</v>
      </c>
      <c r="C45" s="13">
        <v>1057224796.9400001</v>
      </c>
      <c r="D45" s="13">
        <v>53201988.059999943</v>
      </c>
      <c r="E45" s="13">
        <v>23702829.719999999</v>
      </c>
      <c r="F45" s="13">
        <v>27485501</v>
      </c>
      <c r="G45" s="14">
        <v>1.94</v>
      </c>
      <c r="H45" s="14">
        <v>0.86</v>
      </c>
      <c r="I45" s="13">
        <v>1975235.8099999998</v>
      </c>
      <c r="J45" s="15">
        <v>7</v>
      </c>
      <c r="K45" s="13">
        <v>39375337.389999941</v>
      </c>
      <c r="L45" s="13" t="s">
        <v>192</v>
      </c>
      <c r="M45" s="13" t="s">
        <v>192</v>
      </c>
      <c r="N45" s="197">
        <v>43922</v>
      </c>
      <c r="O45" s="16">
        <v>46113</v>
      </c>
      <c r="P45" s="13">
        <v>530392.85</v>
      </c>
      <c r="Q45" s="242" t="e">
        <v>#VALUE!</v>
      </c>
    </row>
    <row r="46" spans="1:17" x14ac:dyDescent="0.2">
      <c r="A46" s="4" t="s">
        <v>34</v>
      </c>
      <c r="B46" s="13">
        <v>1428807757.99</v>
      </c>
      <c r="C46" s="13">
        <v>1365010775.72</v>
      </c>
      <c r="D46" s="13">
        <v>63796982.269999981</v>
      </c>
      <c r="E46" s="13">
        <v>45073501.579999998</v>
      </c>
      <c r="F46" s="13">
        <v>34424780</v>
      </c>
      <c r="G46" s="14">
        <v>1.85</v>
      </c>
      <c r="H46" s="14">
        <v>1.31</v>
      </c>
      <c r="I46" s="13">
        <v>3756125.1316666664</v>
      </c>
      <c r="J46" s="15">
        <v>7</v>
      </c>
      <c r="K46" s="13">
        <v>37504106.348333314</v>
      </c>
      <c r="L46" s="13" t="s">
        <v>192</v>
      </c>
      <c r="M46" s="13" t="s">
        <v>192</v>
      </c>
      <c r="N46" s="197">
        <v>43922</v>
      </c>
      <c r="O46" s="16">
        <v>46113</v>
      </c>
      <c r="P46" s="13">
        <v>4360366.22</v>
      </c>
      <c r="Q46" s="242" t="e">
        <v>#VALUE!</v>
      </c>
    </row>
    <row r="47" spans="1:17" x14ac:dyDescent="0.2">
      <c r="A47" s="4" t="s">
        <v>48</v>
      </c>
      <c r="B47" s="13">
        <v>1985336227.8699999</v>
      </c>
      <c r="C47" s="13">
        <v>1901222228.1700001</v>
      </c>
      <c r="D47" s="13">
        <v>84113999.699999809</v>
      </c>
      <c r="E47" s="13">
        <v>45521547.740000002</v>
      </c>
      <c r="F47" s="13">
        <v>45588088</v>
      </c>
      <c r="G47" s="14">
        <v>1.85</v>
      </c>
      <c r="H47" s="14">
        <v>1</v>
      </c>
      <c r="I47" s="13">
        <v>3793462.311666667</v>
      </c>
      <c r="J47" s="15">
        <v>0</v>
      </c>
      <c r="K47" s="13">
        <v>84113999.699999809</v>
      </c>
      <c r="L47" s="13" t="s">
        <v>192</v>
      </c>
      <c r="M47" s="13" t="s">
        <v>192</v>
      </c>
      <c r="N47" s="197">
        <v>43647</v>
      </c>
      <c r="O47" s="16">
        <v>45839</v>
      </c>
      <c r="P47" s="13">
        <v>1829515.06</v>
      </c>
      <c r="Q47" s="242" t="e">
        <v>#VALUE!</v>
      </c>
    </row>
    <row r="48" spans="1:17" x14ac:dyDescent="0.2">
      <c r="A48" s="4" t="s">
        <v>32</v>
      </c>
      <c r="B48" s="13">
        <v>509113932</v>
      </c>
      <c r="C48" s="13">
        <v>488693602.37</v>
      </c>
      <c r="D48" s="13">
        <v>20420329.629999995</v>
      </c>
      <c r="E48" s="13">
        <v>10651090.41</v>
      </c>
      <c r="F48" s="13">
        <v>11867952</v>
      </c>
      <c r="G48" s="14">
        <v>1.72</v>
      </c>
      <c r="H48" s="14">
        <v>0.9</v>
      </c>
      <c r="I48" s="13">
        <v>887590.86750000005</v>
      </c>
      <c r="J48" s="15">
        <v>4</v>
      </c>
      <c r="K48" s="13">
        <v>16869966.159999996</v>
      </c>
      <c r="L48" s="13" t="s">
        <v>192</v>
      </c>
      <c r="M48" s="13" t="s">
        <v>192</v>
      </c>
      <c r="N48" s="197">
        <v>43831</v>
      </c>
      <c r="O48" s="16">
        <v>46023</v>
      </c>
      <c r="P48" s="13">
        <v>718282.09</v>
      </c>
      <c r="Q48" s="242" t="e">
        <v>#VALUE!</v>
      </c>
    </row>
    <row r="49" spans="1:17" x14ac:dyDescent="0.2">
      <c r="A49" s="4" t="s">
        <v>17</v>
      </c>
      <c r="B49" s="13">
        <v>398824318</v>
      </c>
      <c r="C49" s="13">
        <v>383986581.72000003</v>
      </c>
      <c r="D49" s="13">
        <v>14837736.279999971</v>
      </c>
      <c r="E49" s="13">
        <v>11293499.9</v>
      </c>
      <c r="F49" s="13">
        <v>9664284</v>
      </c>
      <c r="G49" s="14">
        <v>1.54</v>
      </c>
      <c r="H49" s="14">
        <v>1.17</v>
      </c>
      <c r="I49" s="13">
        <v>941124.9916666667</v>
      </c>
      <c r="J49" s="15">
        <v>0</v>
      </c>
      <c r="K49" s="13">
        <v>14837736.279999971</v>
      </c>
      <c r="L49" s="13" t="s">
        <v>192</v>
      </c>
      <c r="M49" s="13" t="s">
        <v>192</v>
      </c>
      <c r="N49" s="197">
        <v>43647</v>
      </c>
      <c r="O49" s="16">
        <v>45839</v>
      </c>
      <c r="P49" s="13">
        <v>1356312.07</v>
      </c>
      <c r="Q49" s="242" t="e">
        <v>#VALUE!</v>
      </c>
    </row>
    <row r="50" spans="1:17" x14ac:dyDescent="0.2">
      <c r="A50" s="4" t="s">
        <v>58</v>
      </c>
      <c r="B50" s="13">
        <v>243764651</v>
      </c>
      <c r="C50" s="13">
        <v>235985918.69999999</v>
      </c>
      <c r="D50" s="13">
        <v>7778732.3000000119</v>
      </c>
      <c r="E50" s="13">
        <v>4786881.8600000003</v>
      </c>
      <c r="F50" s="13">
        <v>5561418</v>
      </c>
      <c r="G50" s="14">
        <v>1.4</v>
      </c>
      <c r="H50" s="14">
        <v>0.86</v>
      </c>
      <c r="I50" s="13">
        <v>398906.82166666671</v>
      </c>
      <c r="J50" s="15">
        <v>0</v>
      </c>
      <c r="K50" s="13">
        <v>7778732.3000000119</v>
      </c>
      <c r="L50" s="13" t="s">
        <v>192</v>
      </c>
      <c r="M50" s="13" t="s">
        <v>192</v>
      </c>
      <c r="N50" s="197">
        <v>43647</v>
      </c>
      <c r="O50" s="16">
        <v>45839</v>
      </c>
      <c r="P50" s="13">
        <v>1220444.81</v>
      </c>
      <c r="Q50" s="242" t="e">
        <v>#VALUE!</v>
      </c>
    </row>
    <row r="51" spans="1:17" x14ac:dyDescent="0.2">
      <c r="A51" s="4" t="s">
        <v>41</v>
      </c>
      <c r="B51" s="13">
        <v>101611843</v>
      </c>
      <c r="C51" s="13">
        <v>97598596.870000005</v>
      </c>
      <c r="D51" s="13">
        <v>4013246.1299999952</v>
      </c>
      <c r="E51" s="13">
        <v>4721804.97</v>
      </c>
      <c r="F51" s="13">
        <v>2910779</v>
      </c>
      <c r="G51" s="14">
        <v>1.38</v>
      </c>
      <c r="H51" s="14">
        <v>1.62</v>
      </c>
      <c r="I51" s="13">
        <v>393483.7475</v>
      </c>
      <c r="J51" s="15">
        <v>0</v>
      </c>
      <c r="K51" s="13">
        <v>4013246.1299999952</v>
      </c>
      <c r="L51" s="13" t="s">
        <v>192</v>
      </c>
      <c r="M51" s="13" t="s">
        <v>192</v>
      </c>
      <c r="N51" s="197">
        <v>43647</v>
      </c>
      <c r="O51" s="16">
        <v>45839</v>
      </c>
      <c r="P51" s="13">
        <v>1457911.8</v>
      </c>
      <c r="Q51" s="242" t="e">
        <v>#VALUE!</v>
      </c>
    </row>
    <row r="52" spans="1:17" x14ac:dyDescent="0.2">
      <c r="A52" s="4" t="s">
        <v>22</v>
      </c>
      <c r="B52" s="13">
        <v>78247436</v>
      </c>
      <c r="C52" s="13">
        <v>74561554.200000003</v>
      </c>
      <c r="D52" s="18">
        <v>3685881.799999997</v>
      </c>
      <c r="E52" s="13">
        <v>1605395.96</v>
      </c>
      <c r="F52" s="13">
        <v>2776815</v>
      </c>
      <c r="G52" s="14">
        <v>1.33</v>
      </c>
      <c r="H52" s="14">
        <v>0.57999999999999996</v>
      </c>
      <c r="I52" s="18">
        <v>133782.99666666667</v>
      </c>
      <c r="J52" s="15">
        <v>0</v>
      </c>
      <c r="K52" s="18">
        <v>3685881.799999997</v>
      </c>
      <c r="L52" s="18" t="s">
        <v>192</v>
      </c>
      <c r="M52" s="18" t="s">
        <v>192</v>
      </c>
      <c r="N52" s="198">
        <v>43647</v>
      </c>
      <c r="O52" s="16">
        <v>45839</v>
      </c>
      <c r="P52" s="13">
        <v>20846.11</v>
      </c>
      <c r="Q52" s="242" t="e">
        <v>#VALUE!</v>
      </c>
    </row>
    <row r="53" spans="1:17" x14ac:dyDescent="0.25">
      <c r="A53" s="36" t="s">
        <v>65</v>
      </c>
      <c r="B53" s="33">
        <v>44036420836.440002</v>
      </c>
      <c r="C53" s="13">
        <v>41016426254.269997</v>
      </c>
      <c r="D53" s="33">
        <v>3019994582.1700058</v>
      </c>
      <c r="E53" s="13">
        <v>982857473.79999995</v>
      </c>
      <c r="F53" s="13">
        <v>983785270</v>
      </c>
      <c r="G53" s="14">
        <v>3.07</v>
      </c>
      <c r="H53" s="14">
        <v>1</v>
      </c>
      <c r="I53" s="33">
        <v>81904789.483333334</v>
      </c>
      <c r="J53" s="34"/>
      <c r="K53" s="35"/>
      <c r="L53" s="35"/>
      <c r="M53" s="35"/>
      <c r="N53" s="35"/>
      <c r="O53" s="35"/>
      <c r="P53" s="33">
        <v>109069842.59000002</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32</v>
      </c>
      <c r="H56" s="25"/>
    </row>
    <row r="57" spans="1:17" ht="27" customHeight="1" thickBot="1" x14ac:dyDescent="0.3">
      <c r="D57" s="248" t="s">
        <v>67</v>
      </c>
      <c r="E57" s="249"/>
      <c r="F57" s="249"/>
      <c r="G57" s="27"/>
      <c r="H57" s="28">
        <v>31</v>
      </c>
    </row>
  </sheetData>
  <mergeCells count="2">
    <mergeCell ref="D56:F56"/>
    <mergeCell ref="D57:F57"/>
  </mergeCells>
  <conditionalFormatting sqref="G54">
    <cfRule type="cellIs" dxfId="139" priority="13" stopIfTrue="1" operator="greaterThan">
      <formula>2.5</formula>
    </cfRule>
    <cfRule type="cellIs" dxfId="138" priority="14" stopIfTrue="1" operator="between">
      <formula>2.01</formula>
      <formula>2.5</formula>
    </cfRule>
  </conditionalFormatting>
  <conditionalFormatting sqref="H3:H53">
    <cfRule type="cellIs" dxfId="137" priority="12" stopIfTrue="1" operator="lessThan">
      <formula>1</formula>
    </cfRule>
  </conditionalFormatting>
  <conditionalFormatting sqref="G3:G53">
    <cfRule type="cellIs" dxfId="136" priority="10" stopIfTrue="1" operator="greaterThan">
      <formula>2.5</formula>
    </cfRule>
    <cfRule type="cellIs" dxfId="135" priority="11" stopIfTrue="1" operator="between">
      <formula>2.01</formula>
      <formula>2.5</formula>
    </cfRule>
  </conditionalFormatting>
  <conditionalFormatting sqref="K3:K52">
    <cfRule type="cellIs" dxfId="134" priority="8" stopIfTrue="1" operator="greaterThan">
      <formula>$F3*2.5</formula>
    </cfRule>
    <cfRule type="cellIs" dxfId="133" priority="9" stopIfTrue="1" operator="between">
      <formula>$F3*2</formula>
      <formula>$F3*2.5</formula>
    </cfRule>
  </conditionalFormatting>
  <conditionalFormatting sqref="G54">
    <cfRule type="cellIs" dxfId="132" priority="6" stopIfTrue="1" operator="greaterThan">
      <formula>2.5</formula>
    </cfRule>
    <cfRule type="cellIs" dxfId="131" priority="7" stopIfTrue="1" operator="between">
      <formula>2.01</formula>
      <formula>2.5</formula>
    </cfRule>
  </conditionalFormatting>
  <conditionalFormatting sqref="H3:H53">
    <cfRule type="cellIs" dxfId="130" priority="5" stopIfTrue="1" operator="lessThan">
      <formula>1</formula>
    </cfRule>
  </conditionalFormatting>
  <conditionalFormatting sqref="G3:G53">
    <cfRule type="cellIs" dxfId="129" priority="3" stopIfTrue="1" operator="greaterThan">
      <formula>2.5</formula>
    </cfRule>
    <cfRule type="cellIs" dxfId="128" priority="4" stopIfTrue="1" operator="between">
      <formula>2.01</formula>
      <formula>2.5</formula>
    </cfRule>
  </conditionalFormatting>
  <conditionalFormatting sqref="K3:K52">
    <cfRule type="cellIs" dxfId="127" priority="1" stopIfTrue="1" operator="greaterThan">
      <formula>$F3*2.5</formula>
    </cfRule>
    <cfRule type="cellIs" dxfId="126"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372D5-0AEE-4A4E-BF06-65CD793B750D}">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304</v>
      </c>
      <c r="B1" s="196" t="s">
        <v>305</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1161972037.8499999</v>
      </c>
      <c r="C3" s="13">
        <v>1015705478.61</v>
      </c>
      <c r="D3" s="13">
        <v>146266559.23999989</v>
      </c>
      <c r="E3" s="13">
        <v>26153085.5</v>
      </c>
      <c r="F3" s="13">
        <v>24581601</v>
      </c>
      <c r="G3" s="14">
        <v>5.95</v>
      </c>
      <c r="H3" s="14">
        <v>1.06</v>
      </c>
      <c r="I3" s="13">
        <v>2179423.7916666665</v>
      </c>
      <c r="J3" s="15">
        <v>9</v>
      </c>
      <c r="K3" s="13">
        <v>126651745.11499989</v>
      </c>
      <c r="L3" s="13">
        <v>10789261.915555544</v>
      </c>
      <c r="M3" s="13">
        <v>9423617.4155555442</v>
      </c>
      <c r="N3" s="197">
        <v>43647</v>
      </c>
      <c r="O3" s="16">
        <v>46204</v>
      </c>
      <c r="P3" s="13">
        <v>559336.49</v>
      </c>
      <c r="Q3" s="243" t="e">
        <v>#VALUE!</v>
      </c>
    </row>
    <row r="4" spans="1:17" x14ac:dyDescent="0.2">
      <c r="A4" s="4" t="s">
        <v>62</v>
      </c>
      <c r="B4" s="13">
        <v>722479384.32000005</v>
      </c>
      <c r="C4" s="13">
        <v>650493722.60000002</v>
      </c>
      <c r="D4" s="13">
        <v>71985661.720000029</v>
      </c>
      <c r="E4" s="13">
        <v>11515731.560000001</v>
      </c>
      <c r="F4" s="13">
        <v>13783001</v>
      </c>
      <c r="G4" s="14">
        <v>5.22</v>
      </c>
      <c r="H4" s="14">
        <v>0.84</v>
      </c>
      <c r="I4" s="13">
        <v>959644.29666666675</v>
      </c>
      <c r="J4" s="15">
        <v>9</v>
      </c>
      <c r="K4" s="13">
        <v>63348863.050000027</v>
      </c>
      <c r="L4" s="13">
        <v>4935517.7466666698</v>
      </c>
      <c r="M4" s="13">
        <v>4169795.4688888919</v>
      </c>
      <c r="N4" s="197">
        <v>43647</v>
      </c>
      <c r="O4" s="16">
        <v>46204</v>
      </c>
      <c r="P4" s="13">
        <v>1548358.46</v>
      </c>
      <c r="Q4" s="242" t="e">
        <v>#VALUE!</v>
      </c>
    </row>
    <row r="5" spans="1:17" x14ac:dyDescent="0.2">
      <c r="A5" s="4" t="s">
        <v>46</v>
      </c>
      <c r="B5" s="13">
        <v>1834758280.3599999</v>
      </c>
      <c r="C5" s="13">
        <v>1602393477.47</v>
      </c>
      <c r="D5" s="13">
        <v>232364802.88999987</v>
      </c>
      <c r="E5" s="13">
        <v>45609689.270000003</v>
      </c>
      <c r="F5" s="13">
        <v>46162390</v>
      </c>
      <c r="G5" s="14">
        <v>5.03</v>
      </c>
      <c r="H5" s="14">
        <v>0.99</v>
      </c>
      <c r="I5" s="13">
        <v>3800807.4391666669</v>
      </c>
      <c r="J5" s="15">
        <v>3</v>
      </c>
      <c r="K5" s="13">
        <v>220962380.57249987</v>
      </c>
      <c r="L5" s="13">
        <v>46680007.629999958</v>
      </c>
      <c r="M5" s="13">
        <v>38986275.963333286</v>
      </c>
      <c r="N5" s="197">
        <v>43831</v>
      </c>
      <c r="O5" s="16">
        <v>46023</v>
      </c>
      <c r="P5" s="13">
        <v>6869434.5499999998</v>
      </c>
      <c r="Q5" s="242" t="e">
        <v>#VALUE!</v>
      </c>
    </row>
    <row r="6" spans="1:17" x14ac:dyDescent="0.2">
      <c r="A6" s="4" t="s">
        <v>35</v>
      </c>
      <c r="B6" s="13">
        <v>1503333344.97</v>
      </c>
      <c r="C6" s="13">
        <v>1344378989.54</v>
      </c>
      <c r="D6" s="13">
        <v>158954355.43000007</v>
      </c>
      <c r="E6" s="13">
        <v>40671341.409999996</v>
      </c>
      <c r="F6" s="13">
        <v>34090474</v>
      </c>
      <c r="G6" s="14">
        <v>4.66</v>
      </c>
      <c r="H6" s="14">
        <v>1.19</v>
      </c>
      <c r="I6" s="13">
        <v>3389278.4508333332</v>
      </c>
      <c r="J6" s="15">
        <v>9</v>
      </c>
      <c r="K6" s="13">
        <v>128450849.37250006</v>
      </c>
      <c r="L6" s="13">
        <v>10085934.158888897</v>
      </c>
      <c r="M6" s="13">
        <v>8192018.936666674</v>
      </c>
      <c r="N6" s="197">
        <v>43647</v>
      </c>
      <c r="O6" s="16">
        <v>46204</v>
      </c>
      <c r="P6" s="13">
        <v>1384192.31</v>
      </c>
      <c r="Q6" s="242" t="e">
        <v>#VALUE!</v>
      </c>
    </row>
    <row r="7" spans="1:17" x14ac:dyDescent="0.2">
      <c r="A7" s="4" t="s">
        <v>44</v>
      </c>
      <c r="B7" s="13">
        <v>504504813</v>
      </c>
      <c r="C7" s="13">
        <v>460324746.99000001</v>
      </c>
      <c r="D7" s="13">
        <v>44180066.00999999</v>
      </c>
      <c r="E7" s="13">
        <v>9845909.4600000009</v>
      </c>
      <c r="F7" s="13">
        <v>10946097</v>
      </c>
      <c r="G7" s="14">
        <v>4.04</v>
      </c>
      <c r="H7" s="14">
        <v>0.9</v>
      </c>
      <c r="I7" s="13">
        <v>820492.45500000007</v>
      </c>
      <c r="J7" s="15">
        <v>3</v>
      </c>
      <c r="K7" s="13">
        <v>41718588.644999988</v>
      </c>
      <c r="L7" s="13">
        <v>7429290.6699999971</v>
      </c>
      <c r="M7" s="13">
        <v>5604941.1699999971</v>
      </c>
      <c r="N7" s="197">
        <v>43831</v>
      </c>
      <c r="O7" s="16">
        <v>46023</v>
      </c>
      <c r="P7" s="13">
        <v>0</v>
      </c>
      <c r="Q7" s="242" t="e">
        <v>#VALUE!</v>
      </c>
    </row>
    <row r="8" spans="1:17" x14ac:dyDescent="0.2">
      <c r="A8" s="4" t="s">
        <v>30</v>
      </c>
      <c r="B8" s="13">
        <v>1194714205.73</v>
      </c>
      <c r="C8" s="13">
        <v>1092281487.4000001</v>
      </c>
      <c r="D8" s="13">
        <v>102432718.32999992</v>
      </c>
      <c r="E8" s="13">
        <v>21799297.890000001</v>
      </c>
      <c r="F8" s="13">
        <v>26571929</v>
      </c>
      <c r="G8" s="14">
        <v>3.85</v>
      </c>
      <c r="H8" s="14">
        <v>0.82</v>
      </c>
      <c r="I8" s="13">
        <v>1816608.1575</v>
      </c>
      <c r="J8" s="15">
        <v>9</v>
      </c>
      <c r="K8" s="13">
        <v>86083244.91249992</v>
      </c>
      <c r="L8" s="13">
        <v>5476540.0366666578</v>
      </c>
      <c r="M8" s="13">
        <v>4000321.7588888803</v>
      </c>
      <c r="N8" s="197">
        <v>43647</v>
      </c>
      <c r="O8" s="16">
        <v>46204</v>
      </c>
      <c r="P8" s="13">
        <v>3303045.45</v>
      </c>
      <c r="Q8" s="242" t="e">
        <v>#VALUE!</v>
      </c>
    </row>
    <row r="9" spans="1:17" x14ac:dyDescent="0.2">
      <c r="A9" s="4" t="s">
        <v>36</v>
      </c>
      <c r="B9" s="13">
        <v>872347192</v>
      </c>
      <c r="C9" s="13">
        <v>798853854.24000001</v>
      </c>
      <c r="D9" s="13">
        <v>73493337.75999999</v>
      </c>
      <c r="E9" s="13">
        <v>18210493.91</v>
      </c>
      <c r="F9" s="13">
        <v>19090913</v>
      </c>
      <c r="G9" s="14">
        <v>3.85</v>
      </c>
      <c r="H9" s="14">
        <v>0.95</v>
      </c>
      <c r="I9" s="13">
        <v>1517541.1591666667</v>
      </c>
      <c r="J9" s="15">
        <v>0</v>
      </c>
      <c r="K9" s="13">
        <v>73493337.75999999</v>
      </c>
      <c r="L9" s="13" t="s">
        <v>193</v>
      </c>
      <c r="M9" s="13" t="s">
        <v>193</v>
      </c>
      <c r="N9" s="197">
        <v>43739</v>
      </c>
      <c r="O9" s="16">
        <v>45931</v>
      </c>
      <c r="P9" s="13">
        <v>2343283.62</v>
      </c>
      <c r="Q9" s="242" t="e">
        <v>#VALUE!</v>
      </c>
    </row>
    <row r="10" spans="1:17" x14ac:dyDescent="0.2">
      <c r="A10" s="4" t="s">
        <v>40</v>
      </c>
      <c r="B10" s="13">
        <v>511163315.91000003</v>
      </c>
      <c r="C10" s="13">
        <v>470615150.60000002</v>
      </c>
      <c r="D10" s="13">
        <v>40548165.310000002</v>
      </c>
      <c r="E10" s="13">
        <v>7683186.7699999996</v>
      </c>
      <c r="F10" s="13">
        <v>10598087</v>
      </c>
      <c r="G10" s="14">
        <v>3.83</v>
      </c>
      <c r="H10" s="14">
        <v>0.72</v>
      </c>
      <c r="I10" s="13">
        <v>640265.56416666659</v>
      </c>
      <c r="J10" s="15">
        <v>9</v>
      </c>
      <c r="K10" s="13">
        <v>34785775.232500002</v>
      </c>
      <c r="L10" s="13">
        <v>2150221.2566666668</v>
      </c>
      <c r="M10" s="13">
        <v>1561438.6455555558</v>
      </c>
      <c r="N10" s="197">
        <v>43647</v>
      </c>
      <c r="O10" s="16">
        <v>46204</v>
      </c>
      <c r="P10" s="13">
        <v>511054.8</v>
      </c>
      <c r="Q10" s="242" t="e">
        <v>#VALUE!</v>
      </c>
    </row>
    <row r="11" spans="1:17" x14ac:dyDescent="0.2">
      <c r="A11" s="4" t="s">
        <v>52</v>
      </c>
      <c r="B11" s="13">
        <v>1966895481</v>
      </c>
      <c r="C11" s="13">
        <v>1884011193.8699999</v>
      </c>
      <c r="D11" s="13">
        <v>82884287.130000114</v>
      </c>
      <c r="E11" s="13">
        <v>20962976.039999999</v>
      </c>
      <c r="F11" s="13">
        <v>21788490</v>
      </c>
      <c r="G11" s="14">
        <v>3.8</v>
      </c>
      <c r="H11" s="14">
        <v>0.96</v>
      </c>
      <c r="I11" s="13">
        <v>1746914.67</v>
      </c>
      <c r="J11" s="15">
        <v>9</v>
      </c>
      <c r="K11" s="13">
        <v>67162055.100000113</v>
      </c>
      <c r="L11" s="13">
        <v>4367478.5700000124</v>
      </c>
      <c r="M11" s="13">
        <v>3157006.9033333459</v>
      </c>
      <c r="N11" s="197">
        <v>43647</v>
      </c>
      <c r="O11" s="16">
        <v>46204</v>
      </c>
      <c r="P11" s="13">
        <v>1857558.31</v>
      </c>
      <c r="Q11" s="242" t="e">
        <v>#VALUE!</v>
      </c>
    </row>
    <row r="12" spans="1:17" x14ac:dyDescent="0.2">
      <c r="A12" s="4" t="s">
        <v>60</v>
      </c>
      <c r="B12" s="13">
        <v>813673223</v>
      </c>
      <c r="C12" s="13">
        <v>739882284.96000004</v>
      </c>
      <c r="D12" s="13">
        <v>73790938.039999962</v>
      </c>
      <c r="E12" s="13">
        <v>14144420.32</v>
      </c>
      <c r="F12" s="13">
        <v>19453948</v>
      </c>
      <c r="G12" s="14">
        <v>3.79</v>
      </c>
      <c r="H12" s="14">
        <v>0.73</v>
      </c>
      <c r="I12" s="13">
        <v>1178701.6933333334</v>
      </c>
      <c r="J12" s="15">
        <v>9</v>
      </c>
      <c r="K12" s="13">
        <v>63182622.79999996</v>
      </c>
      <c r="L12" s="13">
        <v>3875893.5599999959</v>
      </c>
      <c r="M12" s="13">
        <v>2795118.6711111069</v>
      </c>
      <c r="N12" s="197">
        <v>43647</v>
      </c>
      <c r="O12" s="16">
        <v>46204</v>
      </c>
      <c r="P12" s="13">
        <v>607960.07999999996</v>
      </c>
      <c r="Q12" s="242" t="e">
        <v>#VALUE!</v>
      </c>
    </row>
    <row r="13" spans="1:17" x14ac:dyDescent="0.2">
      <c r="A13" s="4" t="s">
        <v>64</v>
      </c>
      <c r="B13" s="13">
        <v>124445693.39</v>
      </c>
      <c r="C13" s="13">
        <v>111209081.42</v>
      </c>
      <c r="D13" s="13">
        <v>13236611.969999999</v>
      </c>
      <c r="E13" s="13">
        <v>6033568.7999999998</v>
      </c>
      <c r="F13" s="13">
        <v>3545933</v>
      </c>
      <c r="G13" s="14">
        <v>3.73</v>
      </c>
      <c r="H13" s="14">
        <v>1.7</v>
      </c>
      <c r="I13" s="13">
        <v>502797.39999999997</v>
      </c>
      <c r="J13" s="15">
        <v>3</v>
      </c>
      <c r="K13" s="13">
        <v>11728219.77</v>
      </c>
      <c r="L13" s="13">
        <v>2048248.6566666663</v>
      </c>
      <c r="M13" s="13">
        <v>1457259.823333333</v>
      </c>
      <c r="N13" s="197">
        <v>43831</v>
      </c>
      <c r="O13" s="16">
        <v>46023</v>
      </c>
      <c r="P13" s="13">
        <v>1582405.49</v>
      </c>
      <c r="Q13" s="242" t="e">
        <v>#VALUE!</v>
      </c>
    </row>
    <row r="14" spans="1:17" x14ac:dyDescent="0.2">
      <c r="A14" s="4" t="s">
        <v>43</v>
      </c>
      <c r="B14" s="13">
        <v>307409614.24000001</v>
      </c>
      <c r="C14" s="13">
        <v>282887290.63</v>
      </c>
      <c r="D14" s="13">
        <v>24522323.610000014</v>
      </c>
      <c r="E14" s="13">
        <v>4621633.8899999997</v>
      </c>
      <c r="F14" s="13">
        <v>6878551</v>
      </c>
      <c r="G14" s="14">
        <v>3.57</v>
      </c>
      <c r="H14" s="14">
        <v>0.67</v>
      </c>
      <c r="I14" s="13">
        <v>385136.15749999997</v>
      </c>
      <c r="J14" s="15">
        <v>9</v>
      </c>
      <c r="K14" s="13">
        <v>21056098.192500014</v>
      </c>
      <c r="L14" s="13">
        <v>1196135.7344444459</v>
      </c>
      <c r="M14" s="13">
        <v>813994.0122222238</v>
      </c>
      <c r="N14" s="197">
        <v>43647</v>
      </c>
      <c r="O14" s="16">
        <v>46204</v>
      </c>
      <c r="P14" s="13">
        <v>248325.86</v>
      </c>
      <c r="Q14" s="242" t="e">
        <v>#VALUE!</v>
      </c>
    </row>
    <row r="15" spans="1:17" x14ac:dyDescent="0.2">
      <c r="A15" s="4" t="s">
        <v>26</v>
      </c>
      <c r="B15" s="13">
        <v>1365257298.0599999</v>
      </c>
      <c r="C15" s="13">
        <v>1262617631</v>
      </c>
      <c r="D15" s="13">
        <v>102639667.05999994</v>
      </c>
      <c r="E15" s="13">
        <v>59334848.289999999</v>
      </c>
      <c r="F15" s="13">
        <v>28988172</v>
      </c>
      <c r="G15" s="14">
        <v>3.54</v>
      </c>
      <c r="H15" s="14">
        <v>2.0499999999999998</v>
      </c>
      <c r="I15" s="13">
        <v>4944570.6908333329</v>
      </c>
      <c r="J15" s="15">
        <v>3</v>
      </c>
      <c r="K15" s="13">
        <v>87805954.987499952</v>
      </c>
      <c r="L15" s="13">
        <v>14887774.353333315</v>
      </c>
      <c r="M15" s="13">
        <v>10056412.353333315</v>
      </c>
      <c r="N15" s="197">
        <v>43831</v>
      </c>
      <c r="O15" s="16">
        <v>46023</v>
      </c>
      <c r="P15" s="13">
        <v>2511409.58</v>
      </c>
      <c r="Q15" s="242" t="e">
        <v>#VALUE!</v>
      </c>
    </row>
    <row r="16" spans="1:17" x14ac:dyDescent="0.2">
      <c r="A16" s="4" t="s">
        <v>16</v>
      </c>
      <c r="B16" s="13">
        <v>107063879</v>
      </c>
      <c r="C16" s="13">
        <v>97643242.609999999</v>
      </c>
      <c r="D16" s="13">
        <v>9420636.3900000006</v>
      </c>
      <c r="E16" s="13">
        <v>2259035.9</v>
      </c>
      <c r="F16" s="13">
        <v>2669761</v>
      </c>
      <c r="G16" s="14">
        <v>3.53</v>
      </c>
      <c r="H16" s="14">
        <v>0.85</v>
      </c>
      <c r="I16" s="13">
        <v>188252.99166666667</v>
      </c>
      <c r="J16" s="15">
        <v>9</v>
      </c>
      <c r="K16" s="13">
        <v>7726359.4650000008</v>
      </c>
      <c r="L16" s="13">
        <v>453457.15444444452</v>
      </c>
      <c r="M16" s="13">
        <v>305137.09888888896</v>
      </c>
      <c r="N16" s="197">
        <v>43647</v>
      </c>
      <c r="O16" s="16">
        <v>46204</v>
      </c>
      <c r="P16" s="13">
        <v>202536.94</v>
      </c>
      <c r="Q16" s="242" t="e">
        <v>#VALUE!</v>
      </c>
    </row>
    <row r="17" spans="1:17" x14ac:dyDescent="0.2">
      <c r="A17" s="4" t="s">
        <v>39</v>
      </c>
      <c r="B17" s="13">
        <v>271317340</v>
      </c>
      <c r="C17" s="13">
        <v>249573824.28999999</v>
      </c>
      <c r="D17" s="13">
        <v>21743515.710000008</v>
      </c>
      <c r="E17" s="13">
        <v>6817247.5999999996</v>
      </c>
      <c r="F17" s="13">
        <v>6196840</v>
      </c>
      <c r="G17" s="14">
        <v>3.51</v>
      </c>
      <c r="H17" s="14">
        <v>1.1000000000000001</v>
      </c>
      <c r="I17" s="13">
        <v>568103.96666666667</v>
      </c>
      <c r="J17" s="15">
        <v>6</v>
      </c>
      <c r="K17" s="13">
        <v>18334891.910000008</v>
      </c>
      <c r="L17" s="13">
        <v>1558305.9516666681</v>
      </c>
      <c r="M17" s="13">
        <v>1041902.6183333347</v>
      </c>
      <c r="N17" s="197">
        <v>43922</v>
      </c>
      <c r="O17" s="16">
        <v>46113</v>
      </c>
      <c r="P17" s="13">
        <v>701416.9</v>
      </c>
      <c r="Q17" s="242" t="e">
        <v>#VALUE!</v>
      </c>
    </row>
    <row r="18" spans="1:17" x14ac:dyDescent="0.2">
      <c r="A18" s="4" t="s">
        <v>20</v>
      </c>
      <c r="B18" s="13">
        <v>402118853.93000001</v>
      </c>
      <c r="C18" s="13">
        <v>370381939.94</v>
      </c>
      <c r="D18" s="13">
        <v>31736913.99000001</v>
      </c>
      <c r="E18" s="13">
        <v>6740578.1900000004</v>
      </c>
      <c r="F18" s="13">
        <v>9522686</v>
      </c>
      <c r="G18" s="14">
        <v>3.33</v>
      </c>
      <c r="H18" s="14">
        <v>0.71</v>
      </c>
      <c r="I18" s="13">
        <v>561714.84916666674</v>
      </c>
      <c r="J18" s="15">
        <v>6</v>
      </c>
      <c r="K18" s="13">
        <v>28366624.895000011</v>
      </c>
      <c r="L18" s="13">
        <v>2115256.9983333349</v>
      </c>
      <c r="M18" s="13">
        <v>1321699.8316666682</v>
      </c>
      <c r="N18" s="197">
        <v>43556</v>
      </c>
      <c r="O18" s="16">
        <v>46113</v>
      </c>
      <c r="P18" s="13">
        <v>129300</v>
      </c>
      <c r="Q18" s="242" t="e">
        <v>#VALUE!</v>
      </c>
    </row>
    <row r="19" spans="1:17" x14ac:dyDescent="0.2">
      <c r="A19" s="4" t="s">
        <v>53</v>
      </c>
      <c r="B19" s="13">
        <v>208940278.25</v>
      </c>
      <c r="C19" s="13">
        <v>189788335.41999999</v>
      </c>
      <c r="D19" s="13">
        <v>19151942.830000013</v>
      </c>
      <c r="E19" s="13">
        <v>6046099.8600000003</v>
      </c>
      <c r="F19" s="13">
        <v>5755637</v>
      </c>
      <c r="G19" s="14">
        <v>3.33</v>
      </c>
      <c r="H19" s="14">
        <v>1.05</v>
      </c>
      <c r="I19" s="13">
        <v>503841.65500000003</v>
      </c>
      <c r="J19" s="15">
        <v>9</v>
      </c>
      <c r="K19" s="13">
        <v>14617367.935000014</v>
      </c>
      <c r="L19" s="13">
        <v>848963.20333333476</v>
      </c>
      <c r="M19" s="13">
        <v>529205.59222222364</v>
      </c>
      <c r="N19" s="197">
        <v>43647</v>
      </c>
      <c r="O19" s="16">
        <v>46204</v>
      </c>
      <c r="P19" s="13">
        <v>1448257.2</v>
      </c>
      <c r="Q19" s="242" t="e">
        <v>#VALUE!</v>
      </c>
    </row>
    <row r="20" spans="1:17" x14ac:dyDescent="0.2">
      <c r="A20" s="4" t="s">
        <v>54</v>
      </c>
      <c r="B20" s="13">
        <v>1042589157.45</v>
      </c>
      <c r="C20" s="13">
        <v>977059042.95000005</v>
      </c>
      <c r="D20" s="13">
        <v>65530114.5</v>
      </c>
      <c r="E20" s="13">
        <v>20297102.75</v>
      </c>
      <c r="F20" s="13">
        <v>20158365</v>
      </c>
      <c r="G20" s="14">
        <v>3.25</v>
      </c>
      <c r="H20" s="14">
        <v>1.01</v>
      </c>
      <c r="I20" s="13">
        <v>1691425.2291666667</v>
      </c>
      <c r="J20" s="15">
        <v>6</v>
      </c>
      <c r="K20" s="13">
        <v>55381563.125</v>
      </c>
      <c r="L20" s="13">
        <v>4202230.75</v>
      </c>
      <c r="M20" s="13">
        <v>2522367</v>
      </c>
      <c r="N20" s="197">
        <v>43922</v>
      </c>
      <c r="O20" s="16">
        <v>46113</v>
      </c>
      <c r="P20" s="13">
        <v>686031</v>
      </c>
      <c r="Q20" s="242" t="e">
        <v>#VALUE!</v>
      </c>
    </row>
    <row r="21" spans="1:17" x14ac:dyDescent="0.2">
      <c r="A21" s="4" t="s">
        <v>38</v>
      </c>
      <c r="B21" s="13">
        <v>1033187132</v>
      </c>
      <c r="C21" s="13">
        <v>962895598.09000003</v>
      </c>
      <c r="D21" s="13">
        <v>70291533.909999967</v>
      </c>
      <c r="E21" s="13">
        <v>24805258.68</v>
      </c>
      <c r="F21" s="13">
        <v>22862412</v>
      </c>
      <c r="G21" s="14">
        <v>3.07</v>
      </c>
      <c r="H21" s="14">
        <v>1.08</v>
      </c>
      <c r="I21" s="13">
        <v>2067104.89</v>
      </c>
      <c r="J21" s="15">
        <v>6</v>
      </c>
      <c r="K21" s="13">
        <v>57888904.569999963</v>
      </c>
      <c r="L21" s="13">
        <v>4094451.6516666613</v>
      </c>
      <c r="M21" s="13">
        <v>2189250.6516666613</v>
      </c>
      <c r="N21" s="197">
        <v>43922</v>
      </c>
      <c r="O21" s="16">
        <v>46113</v>
      </c>
      <c r="P21" s="13">
        <v>2262760.86</v>
      </c>
      <c r="Q21" s="242" t="e">
        <v>#VALUE!</v>
      </c>
    </row>
    <row r="22" spans="1:17" x14ac:dyDescent="0.2">
      <c r="A22" s="4" t="s">
        <v>28</v>
      </c>
      <c r="B22" s="13">
        <v>1083940953</v>
      </c>
      <c r="C22" s="13">
        <v>1010539548.25</v>
      </c>
      <c r="D22" s="13">
        <v>73401404.75</v>
      </c>
      <c r="E22" s="13">
        <v>17364260.629999999</v>
      </c>
      <c r="F22" s="13">
        <v>24208645</v>
      </c>
      <c r="G22" s="14">
        <v>3.03</v>
      </c>
      <c r="H22" s="14">
        <v>0.72</v>
      </c>
      <c r="I22" s="13">
        <v>1447021.7191666665</v>
      </c>
      <c r="J22" s="15">
        <v>3</v>
      </c>
      <c r="K22" s="13">
        <v>69060339.592500001</v>
      </c>
      <c r="L22" s="13">
        <v>8328038.25</v>
      </c>
      <c r="M22" s="13">
        <v>4293264.083333333</v>
      </c>
      <c r="N22" s="197">
        <v>43831</v>
      </c>
      <c r="O22" s="16">
        <v>46023</v>
      </c>
      <c r="P22" s="13">
        <v>1143035.33</v>
      </c>
      <c r="Q22" s="242" t="e">
        <v>#VALUE!</v>
      </c>
    </row>
    <row r="23" spans="1:17" x14ac:dyDescent="0.2">
      <c r="A23" s="4" t="s">
        <v>55</v>
      </c>
      <c r="B23" s="13">
        <v>259883413</v>
      </c>
      <c r="C23" s="13">
        <v>243099732.75</v>
      </c>
      <c r="D23" s="13">
        <v>16783680.25</v>
      </c>
      <c r="E23" s="13">
        <v>6487529.0499999998</v>
      </c>
      <c r="F23" s="13">
        <v>5643956</v>
      </c>
      <c r="G23" s="14">
        <v>2.97</v>
      </c>
      <c r="H23" s="14">
        <v>1.1499999999999999</v>
      </c>
      <c r="I23" s="13">
        <v>540627.42083333328</v>
      </c>
      <c r="J23" s="15">
        <v>3</v>
      </c>
      <c r="K23" s="13">
        <v>15161797.987500001</v>
      </c>
      <c r="L23" s="13">
        <v>1831922.75</v>
      </c>
      <c r="M23" s="13">
        <v>891263.41666666663</v>
      </c>
      <c r="N23" s="197">
        <v>43831</v>
      </c>
      <c r="O23" s="16">
        <v>46023</v>
      </c>
      <c r="P23" s="13">
        <v>0</v>
      </c>
      <c r="Q23" s="242" t="e">
        <v>#VALUE!</v>
      </c>
    </row>
    <row r="24" spans="1:17" x14ac:dyDescent="0.2">
      <c r="A24" s="4" t="s">
        <v>29</v>
      </c>
      <c r="B24" s="13">
        <v>689945660</v>
      </c>
      <c r="C24" s="13">
        <v>646020301.01999998</v>
      </c>
      <c r="D24" s="13">
        <v>43925358.980000019</v>
      </c>
      <c r="E24" s="13">
        <v>11849272.779999999</v>
      </c>
      <c r="F24" s="13">
        <v>14901309</v>
      </c>
      <c r="G24" s="14">
        <v>2.95</v>
      </c>
      <c r="H24" s="14">
        <v>0.8</v>
      </c>
      <c r="I24" s="13">
        <v>987439.39833333332</v>
      </c>
      <c r="J24" s="15">
        <v>3</v>
      </c>
      <c r="K24" s="13">
        <v>40963040.785000019</v>
      </c>
      <c r="L24" s="13">
        <v>4707580.3266666727</v>
      </c>
      <c r="M24" s="13">
        <v>2224028.8266666732</v>
      </c>
      <c r="N24" s="197">
        <v>43466</v>
      </c>
      <c r="O24" s="16">
        <v>46023</v>
      </c>
      <c r="P24" s="13">
        <v>754599.19</v>
      </c>
      <c r="Q24" s="242" t="e">
        <v>#VALUE!</v>
      </c>
    </row>
    <row r="25" spans="1:17" x14ac:dyDescent="0.2">
      <c r="A25" s="4" t="s">
        <v>24</v>
      </c>
      <c r="B25" s="13">
        <v>1683242657.0699999</v>
      </c>
      <c r="C25" s="13">
        <v>1563804481.1500001</v>
      </c>
      <c r="D25" s="13">
        <v>119438175.91999984</v>
      </c>
      <c r="E25" s="13">
        <v>29175600.379999999</v>
      </c>
      <c r="F25" s="13">
        <v>40945091</v>
      </c>
      <c r="G25" s="14">
        <v>2.92</v>
      </c>
      <c r="H25" s="14">
        <v>0.71</v>
      </c>
      <c r="I25" s="13">
        <v>2431300.0316666667</v>
      </c>
      <c r="J25" s="15">
        <v>9</v>
      </c>
      <c r="K25" s="13">
        <v>97556475.634999841</v>
      </c>
      <c r="L25" s="13">
        <v>4171999.3244444262</v>
      </c>
      <c r="M25" s="13" t="s">
        <v>192</v>
      </c>
      <c r="N25" s="197">
        <v>43647</v>
      </c>
      <c r="O25" s="16">
        <v>46204</v>
      </c>
      <c r="P25" s="13">
        <v>1032536.95</v>
      </c>
      <c r="Q25" s="242" t="e">
        <v>#VALUE!</v>
      </c>
    </row>
    <row r="26" spans="1:17" x14ac:dyDescent="0.2">
      <c r="A26" s="4" t="s">
        <v>33</v>
      </c>
      <c r="B26" s="13">
        <v>321862947.48000002</v>
      </c>
      <c r="C26" s="13">
        <v>300208828.70999998</v>
      </c>
      <c r="D26" s="13">
        <v>21654118.770000041</v>
      </c>
      <c r="E26" s="13">
        <v>7577893.1600000001</v>
      </c>
      <c r="F26" s="13">
        <v>7416560</v>
      </c>
      <c r="G26" s="14">
        <v>2.92</v>
      </c>
      <c r="H26" s="14">
        <v>1.02</v>
      </c>
      <c r="I26" s="13">
        <v>631491.09666666668</v>
      </c>
      <c r="J26" s="15">
        <v>9</v>
      </c>
      <c r="K26" s="13">
        <v>15970698.900000039</v>
      </c>
      <c r="L26" s="13">
        <v>757888.7522222267</v>
      </c>
      <c r="M26" s="13" t="s">
        <v>192</v>
      </c>
      <c r="N26" s="197">
        <v>43647</v>
      </c>
      <c r="O26" s="16">
        <v>46204</v>
      </c>
      <c r="P26" s="13">
        <v>1054239.1200000001</v>
      </c>
      <c r="Q26" s="242" t="e">
        <v>#VALUE!</v>
      </c>
    </row>
    <row r="27" spans="1:17" x14ac:dyDescent="0.2">
      <c r="A27" s="4" t="s">
        <v>45</v>
      </c>
      <c r="B27" s="13">
        <v>1276422533.53</v>
      </c>
      <c r="C27" s="13">
        <v>1139150360.55</v>
      </c>
      <c r="D27" s="13">
        <v>137272172.98000002</v>
      </c>
      <c r="E27" s="13">
        <v>41881523.530000001</v>
      </c>
      <c r="F27" s="13">
        <v>47644860</v>
      </c>
      <c r="G27" s="14">
        <v>2.88</v>
      </c>
      <c r="H27" s="14">
        <v>0.88</v>
      </c>
      <c r="I27" s="13">
        <v>3490126.9608333334</v>
      </c>
      <c r="J27" s="15">
        <v>3</v>
      </c>
      <c r="K27" s="13">
        <v>126801792.09750003</v>
      </c>
      <c r="L27" s="13">
        <v>13994150.99333334</v>
      </c>
      <c r="M27" s="13">
        <v>6053340.9933333397</v>
      </c>
      <c r="N27" s="197">
        <v>43831</v>
      </c>
      <c r="O27" s="16">
        <v>46023</v>
      </c>
      <c r="P27" s="13">
        <v>4559315.2699999996</v>
      </c>
      <c r="Q27" s="242" t="e">
        <v>#VALUE!</v>
      </c>
    </row>
    <row r="28" spans="1:17" x14ac:dyDescent="0.2">
      <c r="A28" s="4" t="s">
        <v>47</v>
      </c>
      <c r="B28" s="13">
        <v>190999038.36000001</v>
      </c>
      <c r="C28" s="13">
        <v>180781672.16999999</v>
      </c>
      <c r="D28" s="13">
        <v>10217366.190000027</v>
      </c>
      <c r="E28" s="13">
        <v>6967268.7800000003</v>
      </c>
      <c r="F28" s="13">
        <v>3551615</v>
      </c>
      <c r="G28" s="14">
        <v>2.88</v>
      </c>
      <c r="H28" s="14">
        <v>1.96</v>
      </c>
      <c r="I28" s="13">
        <v>580605.73166666669</v>
      </c>
      <c r="J28" s="15">
        <v>9</v>
      </c>
      <c r="K28" s="13">
        <v>4991914.6050000275</v>
      </c>
      <c r="L28" s="13" t="s">
        <v>192</v>
      </c>
      <c r="M28" s="13" t="s">
        <v>192</v>
      </c>
      <c r="N28" s="197">
        <v>43647</v>
      </c>
      <c r="O28" s="16">
        <v>46204</v>
      </c>
      <c r="P28" s="13">
        <v>511795.41</v>
      </c>
      <c r="Q28" s="242" t="e">
        <v>#VALUE!</v>
      </c>
    </row>
    <row r="29" spans="1:17" x14ac:dyDescent="0.2">
      <c r="A29" s="4" t="s">
        <v>51</v>
      </c>
      <c r="B29" s="13">
        <v>2041893568.29</v>
      </c>
      <c r="C29" s="13">
        <v>1924393013.7</v>
      </c>
      <c r="D29" s="13">
        <v>117500554.58999991</v>
      </c>
      <c r="E29" s="13">
        <v>39644736.420000002</v>
      </c>
      <c r="F29" s="13">
        <v>40828727</v>
      </c>
      <c r="G29" s="14">
        <v>2.88</v>
      </c>
      <c r="H29" s="14">
        <v>0.97</v>
      </c>
      <c r="I29" s="13">
        <v>3303728.0350000001</v>
      </c>
      <c r="J29" s="15">
        <v>3</v>
      </c>
      <c r="K29" s="13">
        <v>107589370.48499991</v>
      </c>
      <c r="L29" s="13">
        <v>11947700.196666637</v>
      </c>
      <c r="M29" s="13">
        <v>5142912.3633333044</v>
      </c>
      <c r="N29" s="197">
        <v>43831</v>
      </c>
      <c r="O29" s="16">
        <v>46023</v>
      </c>
      <c r="P29" s="13">
        <v>3116909.98</v>
      </c>
      <c r="Q29" s="242" t="e">
        <v>#VALUE!</v>
      </c>
    </row>
    <row r="30" spans="1:17" x14ac:dyDescent="0.2">
      <c r="A30" s="4" t="s">
        <v>19</v>
      </c>
      <c r="B30" s="13">
        <v>1468177330.9100001</v>
      </c>
      <c r="C30" s="13">
        <v>1384108272.74</v>
      </c>
      <c r="D30" s="13">
        <v>84069058.170000076</v>
      </c>
      <c r="E30" s="13">
        <v>52193904.810000002</v>
      </c>
      <c r="F30" s="13">
        <v>29748591</v>
      </c>
      <c r="G30" s="14">
        <v>2.83</v>
      </c>
      <c r="H30" s="14">
        <v>1.75</v>
      </c>
      <c r="I30" s="13">
        <v>4349492.0674999999</v>
      </c>
      <c r="J30" s="15">
        <v>9</v>
      </c>
      <c r="K30" s="13">
        <v>44923629.562500075</v>
      </c>
      <c r="L30" s="13" t="s">
        <v>192</v>
      </c>
      <c r="M30" s="13" t="s">
        <v>192</v>
      </c>
      <c r="N30" s="197">
        <v>43647</v>
      </c>
      <c r="O30" s="16">
        <v>46204</v>
      </c>
      <c r="P30" s="13">
        <v>4563501.1399999997</v>
      </c>
      <c r="Q30" s="242" t="e">
        <v>#VALUE!</v>
      </c>
    </row>
    <row r="31" spans="1:17" x14ac:dyDescent="0.2">
      <c r="A31" s="4" t="s">
        <v>37</v>
      </c>
      <c r="B31" s="13">
        <v>1263148065.8299999</v>
      </c>
      <c r="C31" s="13">
        <v>1196635042.49</v>
      </c>
      <c r="D31" s="13">
        <v>66513023.339999914</v>
      </c>
      <c r="E31" s="13">
        <v>23183779.030000001</v>
      </c>
      <c r="F31" s="13">
        <v>23759923</v>
      </c>
      <c r="G31" s="14">
        <v>2.8</v>
      </c>
      <c r="H31" s="14">
        <v>0.98</v>
      </c>
      <c r="I31" s="13">
        <v>1931981.5858333334</v>
      </c>
      <c r="J31" s="15">
        <v>9</v>
      </c>
      <c r="K31" s="13">
        <v>49125189.067499913</v>
      </c>
      <c r="L31" s="13">
        <v>2110353.0377777684</v>
      </c>
      <c r="M31" s="13" t="s">
        <v>192</v>
      </c>
      <c r="N31" s="197">
        <v>43647</v>
      </c>
      <c r="O31" s="16">
        <v>46204</v>
      </c>
      <c r="P31" s="13">
        <v>2647603.61</v>
      </c>
      <c r="Q31" s="242" t="e">
        <v>#VALUE!</v>
      </c>
    </row>
    <row r="32" spans="1:17" x14ac:dyDescent="0.2">
      <c r="A32" s="4" t="s">
        <v>18</v>
      </c>
      <c r="B32" s="13">
        <v>817050825.05999994</v>
      </c>
      <c r="C32" s="13">
        <v>769859152.26999998</v>
      </c>
      <c r="D32" s="13">
        <v>47191672.789999962</v>
      </c>
      <c r="E32" s="13">
        <v>27486953.02</v>
      </c>
      <c r="F32" s="13">
        <v>17644408</v>
      </c>
      <c r="G32" s="14">
        <v>2.67</v>
      </c>
      <c r="H32" s="14">
        <v>1.56</v>
      </c>
      <c r="I32" s="13">
        <v>2290579.4183333335</v>
      </c>
      <c r="J32" s="15">
        <v>9</v>
      </c>
      <c r="K32" s="13">
        <v>26576458.024999961</v>
      </c>
      <c r="L32" s="13" t="s">
        <v>192</v>
      </c>
      <c r="M32" s="13" t="s">
        <v>192</v>
      </c>
      <c r="N32" s="197">
        <v>43647</v>
      </c>
      <c r="O32" s="16">
        <v>46204</v>
      </c>
      <c r="P32" s="13">
        <v>2169837.0499999998</v>
      </c>
      <c r="Q32" s="242" t="e">
        <v>#VALUE!</v>
      </c>
    </row>
    <row r="33" spans="1:17" x14ac:dyDescent="0.2">
      <c r="A33" s="4" t="s">
        <v>56</v>
      </c>
      <c r="B33" s="13">
        <v>1182377479</v>
      </c>
      <c r="C33" s="13">
        <v>1109144896.0899999</v>
      </c>
      <c r="D33" s="13">
        <v>73232582.910000086</v>
      </c>
      <c r="E33" s="13">
        <v>22066579.489999998</v>
      </c>
      <c r="F33" s="13">
        <v>27472066</v>
      </c>
      <c r="G33" s="14">
        <v>2.67</v>
      </c>
      <c r="H33" s="14">
        <v>0.8</v>
      </c>
      <c r="I33" s="13">
        <v>1838881.6241666665</v>
      </c>
      <c r="J33" s="15">
        <v>9</v>
      </c>
      <c r="K33" s="13">
        <v>56682648.292500086</v>
      </c>
      <c r="L33" s="13">
        <v>2032050.1011111205</v>
      </c>
      <c r="M33" s="13" t="s">
        <v>192</v>
      </c>
      <c r="N33" s="197">
        <v>43647</v>
      </c>
      <c r="O33" s="16">
        <v>46204</v>
      </c>
      <c r="P33" s="13">
        <v>294510.89</v>
      </c>
      <c r="Q33" s="242" t="e">
        <v>#VALUE!</v>
      </c>
    </row>
    <row r="34" spans="1:17" x14ac:dyDescent="0.2">
      <c r="A34" s="4" t="s">
        <v>21</v>
      </c>
      <c r="B34" s="13">
        <v>542289730.02999997</v>
      </c>
      <c r="C34" s="13">
        <v>505121112.76999998</v>
      </c>
      <c r="D34" s="13">
        <v>37168617.25999999</v>
      </c>
      <c r="E34" s="13">
        <v>12680260.810000001</v>
      </c>
      <c r="F34" s="13">
        <v>13960891</v>
      </c>
      <c r="G34" s="14">
        <v>2.66</v>
      </c>
      <c r="H34" s="14">
        <v>0.91</v>
      </c>
      <c r="I34" s="13">
        <v>1056688.4008333334</v>
      </c>
      <c r="J34" s="15">
        <v>9</v>
      </c>
      <c r="K34" s="13">
        <v>27658421.652499989</v>
      </c>
      <c r="L34" s="13" t="s">
        <v>192</v>
      </c>
      <c r="M34" s="13" t="s">
        <v>192</v>
      </c>
      <c r="N34" s="197">
        <v>43647</v>
      </c>
      <c r="O34" s="16">
        <v>46204</v>
      </c>
      <c r="P34" s="13">
        <v>132893</v>
      </c>
      <c r="Q34" s="242" t="e">
        <v>#VALUE!</v>
      </c>
    </row>
    <row r="35" spans="1:17" x14ac:dyDescent="0.2">
      <c r="A35" s="4" t="s">
        <v>57</v>
      </c>
      <c r="B35" s="13">
        <v>2950491414.54</v>
      </c>
      <c r="C35" s="13">
        <v>2787122683.2399998</v>
      </c>
      <c r="D35" s="13">
        <v>163368731.30000019</v>
      </c>
      <c r="E35" s="13">
        <v>61465746.359999999</v>
      </c>
      <c r="F35" s="13">
        <v>71178309</v>
      </c>
      <c r="G35" s="14">
        <v>2.2999999999999998</v>
      </c>
      <c r="H35" s="14">
        <v>0.86</v>
      </c>
      <c r="I35" s="13">
        <v>5122145.53</v>
      </c>
      <c r="J35" s="15">
        <v>0</v>
      </c>
      <c r="K35" s="13">
        <v>163368731.30000019</v>
      </c>
      <c r="L35" s="13" t="s">
        <v>193</v>
      </c>
      <c r="M35" s="13" t="s">
        <v>192</v>
      </c>
      <c r="N35" s="197">
        <v>44075</v>
      </c>
      <c r="O35" s="16">
        <v>45901</v>
      </c>
      <c r="P35" s="13">
        <v>6242312.7599999998</v>
      </c>
      <c r="Q35" s="242" t="e">
        <v>#VALUE!</v>
      </c>
    </row>
    <row r="36" spans="1:17" x14ac:dyDescent="0.2">
      <c r="A36" s="4" t="s">
        <v>42</v>
      </c>
      <c r="B36" s="13">
        <v>355494147</v>
      </c>
      <c r="C36" s="13">
        <v>333991266.26999998</v>
      </c>
      <c r="D36" s="13">
        <v>21502880.730000019</v>
      </c>
      <c r="E36" s="13">
        <v>10056684.92</v>
      </c>
      <c r="F36" s="13">
        <v>9435207</v>
      </c>
      <c r="G36" s="14">
        <v>2.2799999999999998</v>
      </c>
      <c r="H36" s="14">
        <v>1.07</v>
      </c>
      <c r="I36" s="13">
        <v>838057.07666666666</v>
      </c>
      <c r="J36" s="15">
        <v>3</v>
      </c>
      <c r="K36" s="13">
        <v>18988709.500000019</v>
      </c>
      <c r="L36" s="13">
        <v>877488.91000000632</v>
      </c>
      <c r="M36" s="13" t="s">
        <v>192</v>
      </c>
      <c r="N36" s="197">
        <v>43831</v>
      </c>
      <c r="O36" s="16">
        <v>46023</v>
      </c>
      <c r="P36" s="13">
        <v>672282.05</v>
      </c>
      <c r="Q36" s="242" t="e">
        <v>#VALUE!</v>
      </c>
    </row>
    <row r="37" spans="1:17" x14ac:dyDescent="0.2">
      <c r="A37" s="4" t="s">
        <v>61</v>
      </c>
      <c r="B37" s="13">
        <v>535148479</v>
      </c>
      <c r="C37" s="13">
        <v>505302132.61000001</v>
      </c>
      <c r="D37" s="13">
        <v>29846346.389999986</v>
      </c>
      <c r="E37" s="13">
        <v>12443214.390000001</v>
      </c>
      <c r="F37" s="13">
        <v>13099382</v>
      </c>
      <c r="G37" s="14">
        <v>2.2799999999999998</v>
      </c>
      <c r="H37" s="14">
        <v>0.95</v>
      </c>
      <c r="I37" s="13">
        <v>1036934.5325000001</v>
      </c>
      <c r="J37" s="15">
        <v>9</v>
      </c>
      <c r="K37" s="13">
        <v>20513935.597499985</v>
      </c>
      <c r="L37" s="13" t="s">
        <v>192</v>
      </c>
      <c r="M37" s="13" t="s">
        <v>192</v>
      </c>
      <c r="N37" s="197">
        <v>43647</v>
      </c>
      <c r="O37" s="16">
        <v>46204</v>
      </c>
      <c r="P37" s="13">
        <v>1191693.31</v>
      </c>
      <c r="Q37" s="242" t="e">
        <v>#VALUE!</v>
      </c>
    </row>
    <row r="38" spans="1:17" x14ac:dyDescent="0.2">
      <c r="A38" s="4" t="s">
        <v>27</v>
      </c>
      <c r="B38" s="13">
        <v>1340428223.5599999</v>
      </c>
      <c r="C38" s="13">
        <v>1271199743.8299999</v>
      </c>
      <c r="D38" s="13">
        <v>69228479.730000019</v>
      </c>
      <c r="E38" s="13">
        <v>25640551.43</v>
      </c>
      <c r="F38" s="13">
        <v>30689455</v>
      </c>
      <c r="G38" s="14">
        <v>2.2599999999999998</v>
      </c>
      <c r="H38" s="14">
        <v>0.84</v>
      </c>
      <c r="I38" s="13">
        <v>2136712.6191666666</v>
      </c>
      <c r="J38" s="15">
        <v>9</v>
      </c>
      <c r="K38" s="13">
        <v>49998066.157500021</v>
      </c>
      <c r="L38" s="13" t="s">
        <v>192</v>
      </c>
      <c r="M38" s="13" t="s">
        <v>192</v>
      </c>
      <c r="N38" s="197">
        <v>43647</v>
      </c>
      <c r="O38" s="16">
        <v>46204</v>
      </c>
      <c r="P38" s="13">
        <v>1393756.61</v>
      </c>
      <c r="Q38" s="242" t="e">
        <v>#VALUE!</v>
      </c>
    </row>
    <row r="39" spans="1:17" x14ac:dyDescent="0.2">
      <c r="A39" s="4" t="s">
        <v>15</v>
      </c>
      <c r="B39" s="13">
        <v>1108314599.5</v>
      </c>
      <c r="C39" s="13">
        <v>1056891056.1</v>
      </c>
      <c r="D39" s="13">
        <v>51423543.399999976</v>
      </c>
      <c r="E39" s="13">
        <v>20334268.300000001</v>
      </c>
      <c r="F39" s="13">
        <v>23039495</v>
      </c>
      <c r="G39" s="14">
        <v>2.23</v>
      </c>
      <c r="H39" s="14">
        <v>0.88</v>
      </c>
      <c r="I39" s="13">
        <v>1694522.3583333334</v>
      </c>
      <c r="J39" s="15">
        <v>6</v>
      </c>
      <c r="K39" s="13">
        <v>41256409.249999978</v>
      </c>
      <c r="L39" s="13" t="s">
        <v>192</v>
      </c>
      <c r="M39" s="13" t="s">
        <v>192</v>
      </c>
      <c r="N39" s="197">
        <v>43556</v>
      </c>
      <c r="O39" s="16">
        <v>46113</v>
      </c>
      <c r="P39" s="13">
        <v>1776642.94</v>
      </c>
      <c r="Q39" s="242" t="e">
        <v>#VALUE!</v>
      </c>
    </row>
    <row r="40" spans="1:17" x14ac:dyDescent="0.2">
      <c r="A40" s="4" t="s">
        <v>31</v>
      </c>
      <c r="B40" s="13">
        <v>1227877221</v>
      </c>
      <c r="C40" s="13">
        <v>1178379095.3800001</v>
      </c>
      <c r="D40" s="13">
        <v>49498125.619999886</v>
      </c>
      <c r="E40" s="13">
        <v>20302441.82</v>
      </c>
      <c r="F40" s="13">
        <v>22761731</v>
      </c>
      <c r="G40" s="14">
        <v>2.17</v>
      </c>
      <c r="H40" s="14">
        <v>0.89</v>
      </c>
      <c r="I40" s="13">
        <v>1691870.1516666666</v>
      </c>
      <c r="J40" s="15">
        <v>6</v>
      </c>
      <c r="K40" s="13">
        <v>39346904.709999889</v>
      </c>
      <c r="L40" s="13" t="s">
        <v>192</v>
      </c>
      <c r="M40" s="13" t="s">
        <v>192</v>
      </c>
      <c r="N40" s="197">
        <v>43922</v>
      </c>
      <c r="O40" s="16">
        <v>46113</v>
      </c>
      <c r="P40" s="13">
        <v>1879902.92</v>
      </c>
      <c r="Q40" s="242" t="e">
        <v>#VALUE!</v>
      </c>
    </row>
    <row r="41" spans="1:17" x14ac:dyDescent="0.2">
      <c r="A41" s="4" t="s">
        <v>59</v>
      </c>
      <c r="B41" s="13">
        <v>285086766</v>
      </c>
      <c r="C41" s="13">
        <v>269184291</v>
      </c>
      <c r="D41" s="13">
        <v>15902475</v>
      </c>
      <c r="E41" s="13">
        <v>4486149.97</v>
      </c>
      <c r="F41" s="13">
        <v>7485780</v>
      </c>
      <c r="G41" s="14">
        <v>2.12</v>
      </c>
      <c r="H41" s="14">
        <v>0.6</v>
      </c>
      <c r="I41" s="13">
        <v>373845.83083333331</v>
      </c>
      <c r="J41" s="15">
        <v>9</v>
      </c>
      <c r="K41" s="13">
        <v>12537862.522500001</v>
      </c>
      <c r="L41" s="13" t="s">
        <v>192</v>
      </c>
      <c r="M41" s="13" t="s">
        <v>192</v>
      </c>
      <c r="N41" s="197">
        <v>43647</v>
      </c>
      <c r="O41" s="16">
        <v>46204</v>
      </c>
      <c r="P41" s="13">
        <v>0</v>
      </c>
      <c r="Q41" s="242" t="e">
        <v>#VALUE!</v>
      </c>
    </row>
    <row r="42" spans="1:17" x14ac:dyDescent="0.2">
      <c r="A42" s="4" t="s">
        <v>25</v>
      </c>
      <c r="B42" s="13">
        <v>351543186.45999998</v>
      </c>
      <c r="C42" s="13">
        <v>333358883.94999999</v>
      </c>
      <c r="D42" s="13">
        <v>18184302.50999999</v>
      </c>
      <c r="E42" s="13">
        <v>8105396.5899999999</v>
      </c>
      <c r="F42" s="13">
        <v>8658249</v>
      </c>
      <c r="G42" s="14">
        <v>2.1</v>
      </c>
      <c r="H42" s="14">
        <v>0.94</v>
      </c>
      <c r="I42" s="13">
        <v>675449.71583333332</v>
      </c>
      <c r="J42" s="15">
        <v>6</v>
      </c>
      <c r="K42" s="13">
        <v>14131604.214999991</v>
      </c>
      <c r="L42" s="13" t="s">
        <v>192</v>
      </c>
      <c r="M42" s="13" t="s">
        <v>192</v>
      </c>
      <c r="N42" s="197">
        <v>43556</v>
      </c>
      <c r="O42" s="16">
        <v>46113</v>
      </c>
      <c r="P42" s="13">
        <v>1443905</v>
      </c>
      <c r="Q42" s="242" t="e">
        <v>#VALUE!</v>
      </c>
    </row>
    <row r="43" spans="1:17" x14ac:dyDescent="0.2">
      <c r="A43" s="4" t="s">
        <v>49</v>
      </c>
      <c r="B43" s="13">
        <v>699328036.19000006</v>
      </c>
      <c r="C43" s="13">
        <v>672559119.24000001</v>
      </c>
      <c r="D43" s="13">
        <v>26768916.950000048</v>
      </c>
      <c r="E43" s="13">
        <v>11289554.359999999</v>
      </c>
      <c r="F43" s="13">
        <v>14024709</v>
      </c>
      <c r="G43" s="14">
        <v>1.91</v>
      </c>
      <c r="H43" s="14">
        <v>0.8</v>
      </c>
      <c r="I43" s="13">
        <v>940796.19666666666</v>
      </c>
      <c r="J43" s="15">
        <v>6</v>
      </c>
      <c r="K43" s="13">
        <v>21124139.770000048</v>
      </c>
      <c r="L43" s="13" t="s">
        <v>192</v>
      </c>
      <c r="M43" s="13" t="s">
        <v>192</v>
      </c>
      <c r="N43" s="197">
        <v>43922</v>
      </c>
      <c r="O43" s="16">
        <v>46113</v>
      </c>
      <c r="P43" s="13">
        <v>379676.32</v>
      </c>
      <c r="Q43" s="242" t="e">
        <v>#VALUE!</v>
      </c>
    </row>
    <row r="44" spans="1:17" x14ac:dyDescent="0.2">
      <c r="A44" s="4" t="s">
        <v>63</v>
      </c>
      <c r="B44" s="13">
        <v>1110426785</v>
      </c>
      <c r="C44" s="13">
        <v>1060419502.4400001</v>
      </c>
      <c r="D44" s="13">
        <v>50007282.559999943</v>
      </c>
      <c r="E44" s="13">
        <v>26303570.530000001</v>
      </c>
      <c r="F44" s="13">
        <v>27485501</v>
      </c>
      <c r="G44" s="14">
        <v>1.82</v>
      </c>
      <c r="H44" s="14">
        <v>0.96</v>
      </c>
      <c r="I44" s="13">
        <v>2191964.2108333334</v>
      </c>
      <c r="J44" s="15">
        <v>6</v>
      </c>
      <c r="K44" s="13">
        <v>36855497.294999942</v>
      </c>
      <c r="L44" s="13" t="s">
        <v>192</v>
      </c>
      <c r="M44" s="13" t="s">
        <v>192</v>
      </c>
      <c r="N44" s="197">
        <v>43922</v>
      </c>
      <c r="O44" s="16">
        <v>46113</v>
      </c>
      <c r="P44" s="13">
        <v>3194705.5</v>
      </c>
      <c r="Q44" s="242" t="e">
        <v>#VALUE!</v>
      </c>
    </row>
    <row r="45" spans="1:17" x14ac:dyDescent="0.2">
      <c r="A45" s="4" t="s">
        <v>50</v>
      </c>
      <c r="B45" s="13">
        <v>557171086.30999994</v>
      </c>
      <c r="C45" s="13">
        <v>536178699.31</v>
      </c>
      <c r="D45" s="13">
        <v>20992386.99999994</v>
      </c>
      <c r="E45" s="13">
        <v>15603783.07</v>
      </c>
      <c r="F45" s="13">
        <v>11761407</v>
      </c>
      <c r="G45" s="14">
        <v>1.78</v>
      </c>
      <c r="H45" s="14">
        <v>1.33</v>
      </c>
      <c r="I45" s="13">
        <v>1300315.2558333334</v>
      </c>
      <c r="J45" s="15">
        <v>3</v>
      </c>
      <c r="K45" s="13">
        <v>17091441.232499942</v>
      </c>
      <c r="L45" s="13" t="s">
        <v>192</v>
      </c>
      <c r="M45" s="13" t="s">
        <v>192</v>
      </c>
      <c r="N45" s="197">
        <v>43831</v>
      </c>
      <c r="O45" s="16">
        <v>46023</v>
      </c>
      <c r="P45" s="13">
        <v>2169941.89</v>
      </c>
      <c r="Q45" s="242" t="e">
        <v>#VALUE!</v>
      </c>
    </row>
    <row r="46" spans="1:17" x14ac:dyDescent="0.2">
      <c r="A46" s="4" t="s">
        <v>48</v>
      </c>
      <c r="B46" s="13">
        <v>1985336227.8699999</v>
      </c>
      <c r="C46" s="13">
        <v>1905111155.23</v>
      </c>
      <c r="D46" s="13">
        <v>80225072.639999866</v>
      </c>
      <c r="E46" s="13">
        <v>43040262.450000003</v>
      </c>
      <c r="F46" s="13">
        <v>45588088</v>
      </c>
      <c r="G46" s="14">
        <v>1.76</v>
      </c>
      <c r="H46" s="14">
        <v>0.94</v>
      </c>
      <c r="I46" s="13">
        <v>3586688.5375000001</v>
      </c>
      <c r="J46" s="15">
        <v>9</v>
      </c>
      <c r="K46" s="13">
        <v>47944875.802499861</v>
      </c>
      <c r="L46" s="13" t="s">
        <v>192</v>
      </c>
      <c r="M46" s="13" t="s">
        <v>192</v>
      </c>
      <c r="N46" s="197">
        <v>43647</v>
      </c>
      <c r="O46" s="16">
        <v>46204</v>
      </c>
      <c r="P46" s="13">
        <v>3888927.06</v>
      </c>
      <c r="Q46" s="242" t="e">
        <v>#VALUE!</v>
      </c>
    </row>
    <row r="47" spans="1:17" x14ac:dyDescent="0.2">
      <c r="A47" s="4" t="s">
        <v>34</v>
      </c>
      <c r="B47" s="13">
        <v>1428807757.99</v>
      </c>
      <c r="C47" s="13">
        <v>1372023446.1099999</v>
      </c>
      <c r="D47" s="13">
        <v>56784311.880000114</v>
      </c>
      <c r="E47" s="13">
        <v>42010874.200000003</v>
      </c>
      <c r="F47" s="13">
        <v>34424780</v>
      </c>
      <c r="G47" s="14">
        <v>1.65</v>
      </c>
      <c r="H47" s="14">
        <v>1.22</v>
      </c>
      <c r="I47" s="13">
        <v>3500906.1833333336</v>
      </c>
      <c r="J47" s="15">
        <v>6</v>
      </c>
      <c r="K47" s="13">
        <v>35778874.780000113</v>
      </c>
      <c r="L47" s="13" t="s">
        <v>192</v>
      </c>
      <c r="M47" s="13" t="s">
        <v>192</v>
      </c>
      <c r="N47" s="197">
        <v>43922</v>
      </c>
      <c r="O47" s="16">
        <v>46113</v>
      </c>
      <c r="P47" s="13">
        <v>7012670.3899999997</v>
      </c>
      <c r="Q47" s="242" t="e">
        <v>#VALUE!</v>
      </c>
    </row>
    <row r="48" spans="1:17" x14ac:dyDescent="0.2">
      <c r="A48" s="4" t="s">
        <v>32</v>
      </c>
      <c r="B48" s="13">
        <v>509113932</v>
      </c>
      <c r="C48" s="13">
        <v>489900686.01999998</v>
      </c>
      <c r="D48" s="13">
        <v>19213245.980000019</v>
      </c>
      <c r="E48" s="13">
        <v>11368666.189999999</v>
      </c>
      <c r="F48" s="13">
        <v>11867952</v>
      </c>
      <c r="G48" s="14">
        <v>1.62</v>
      </c>
      <c r="H48" s="14">
        <v>0.96</v>
      </c>
      <c r="I48" s="13">
        <v>947388.84916666662</v>
      </c>
      <c r="J48" s="15">
        <v>3</v>
      </c>
      <c r="K48" s="13">
        <v>16371079.43250002</v>
      </c>
      <c r="L48" s="13" t="s">
        <v>192</v>
      </c>
      <c r="M48" s="13" t="s">
        <v>192</v>
      </c>
      <c r="N48" s="197">
        <v>43831</v>
      </c>
      <c r="O48" s="16">
        <v>46023</v>
      </c>
      <c r="P48" s="13">
        <v>1207083.6499999999</v>
      </c>
      <c r="Q48" s="242" t="e">
        <v>#VALUE!</v>
      </c>
    </row>
    <row r="49" spans="1:17" x14ac:dyDescent="0.2">
      <c r="A49" s="4" t="s">
        <v>17</v>
      </c>
      <c r="B49" s="13">
        <v>398824318</v>
      </c>
      <c r="C49" s="13">
        <v>384397953.5</v>
      </c>
      <c r="D49" s="13">
        <v>14426364.5</v>
      </c>
      <c r="E49" s="13">
        <v>10074815.550000001</v>
      </c>
      <c r="F49" s="13">
        <v>9664284</v>
      </c>
      <c r="G49" s="14">
        <v>1.49</v>
      </c>
      <c r="H49" s="14">
        <v>1.04</v>
      </c>
      <c r="I49" s="13">
        <v>839567.96250000002</v>
      </c>
      <c r="J49" s="15">
        <v>9</v>
      </c>
      <c r="K49" s="13">
        <v>6870252.8374999994</v>
      </c>
      <c r="L49" s="13" t="s">
        <v>192</v>
      </c>
      <c r="M49" s="13" t="s">
        <v>192</v>
      </c>
      <c r="N49" s="197">
        <v>43647</v>
      </c>
      <c r="O49" s="16">
        <v>46204</v>
      </c>
      <c r="P49" s="13">
        <v>411371.78</v>
      </c>
      <c r="Q49" s="242" t="e">
        <v>#VALUE!</v>
      </c>
    </row>
    <row r="50" spans="1:17" x14ac:dyDescent="0.2">
      <c r="A50" s="4" t="s">
        <v>58</v>
      </c>
      <c r="B50" s="13">
        <v>243764651</v>
      </c>
      <c r="C50" s="13">
        <v>236518570.05000001</v>
      </c>
      <c r="D50" s="13">
        <v>7246080.9499999881</v>
      </c>
      <c r="E50" s="13">
        <v>3114815.88</v>
      </c>
      <c r="F50" s="13">
        <v>5561418</v>
      </c>
      <c r="G50" s="14">
        <v>1.3</v>
      </c>
      <c r="H50" s="14">
        <v>0.56000000000000005</v>
      </c>
      <c r="I50" s="13">
        <v>259567.99</v>
      </c>
      <c r="J50" s="15">
        <v>9</v>
      </c>
      <c r="K50" s="13">
        <v>4909969.0399999879</v>
      </c>
      <c r="L50" s="13" t="s">
        <v>192</v>
      </c>
      <c r="M50" s="13" t="s">
        <v>192</v>
      </c>
      <c r="N50" s="197">
        <v>43647</v>
      </c>
      <c r="O50" s="16">
        <v>46204</v>
      </c>
      <c r="P50" s="13">
        <v>532651.35</v>
      </c>
      <c r="Q50" s="242" t="e">
        <v>#VALUE!</v>
      </c>
    </row>
    <row r="51" spans="1:17" x14ac:dyDescent="0.2">
      <c r="A51" s="4" t="s">
        <v>41</v>
      </c>
      <c r="B51" s="13">
        <v>101611843</v>
      </c>
      <c r="C51" s="13">
        <v>97927081.290000007</v>
      </c>
      <c r="D51" s="13">
        <v>3684761.7099999934</v>
      </c>
      <c r="E51" s="13">
        <v>4780336.08</v>
      </c>
      <c r="F51" s="13">
        <v>2910779</v>
      </c>
      <c r="G51" s="14">
        <v>1.27</v>
      </c>
      <c r="H51" s="14">
        <v>1.64</v>
      </c>
      <c r="I51" s="13">
        <v>398361.34</v>
      </c>
      <c r="J51" s="15">
        <v>9</v>
      </c>
      <c r="K51" s="13">
        <v>99509.649999993388</v>
      </c>
      <c r="L51" s="13" t="s">
        <v>192</v>
      </c>
      <c r="M51" s="13" t="s">
        <v>192</v>
      </c>
      <c r="N51" s="197">
        <v>43647</v>
      </c>
      <c r="O51" s="16">
        <v>46204</v>
      </c>
      <c r="P51" s="13">
        <v>328484.42</v>
      </c>
      <c r="Q51" s="242" t="e">
        <v>#VALUE!</v>
      </c>
    </row>
    <row r="52" spans="1:17" x14ac:dyDescent="0.2">
      <c r="A52" s="4" t="s">
        <v>22</v>
      </c>
      <c r="B52" s="13">
        <v>78247436</v>
      </c>
      <c r="C52" s="13">
        <v>74804821.510000005</v>
      </c>
      <c r="D52" s="18">
        <v>3442614.4899999946</v>
      </c>
      <c r="E52" s="13">
        <v>1626202.4</v>
      </c>
      <c r="F52" s="13">
        <v>2776815</v>
      </c>
      <c r="G52" s="14">
        <v>1.24</v>
      </c>
      <c r="H52" s="14">
        <v>0.59</v>
      </c>
      <c r="I52" s="18">
        <v>135516.86666666667</v>
      </c>
      <c r="J52" s="15">
        <v>9</v>
      </c>
      <c r="K52" s="18">
        <v>2222962.6899999948</v>
      </c>
      <c r="L52" s="18" t="s">
        <v>192</v>
      </c>
      <c r="M52" s="18" t="s">
        <v>192</v>
      </c>
      <c r="N52" s="198">
        <v>43647</v>
      </c>
      <c r="O52" s="16">
        <v>46204</v>
      </c>
      <c r="P52" s="13">
        <v>243267.31</v>
      </c>
      <c r="Q52" s="242" t="e">
        <v>#VALUE!</v>
      </c>
    </row>
    <row r="53" spans="1:17" x14ac:dyDescent="0.25">
      <c r="A53" s="36" t="s">
        <v>65</v>
      </c>
      <c r="B53" s="33">
        <v>44036420836.440002</v>
      </c>
      <c r="C53" s="13">
        <v>41101132974.370003</v>
      </c>
      <c r="D53" s="33">
        <v>2935287862.0699997</v>
      </c>
      <c r="E53" s="13">
        <v>984158402.47000003</v>
      </c>
      <c r="F53" s="13">
        <v>983785270</v>
      </c>
      <c r="G53" s="14">
        <v>2.98</v>
      </c>
      <c r="H53" s="14">
        <v>1</v>
      </c>
      <c r="I53" s="33">
        <v>82013200.205833331</v>
      </c>
      <c r="J53" s="34"/>
      <c r="K53" s="35"/>
      <c r="L53" s="35"/>
      <c r="M53" s="35"/>
      <c r="N53" s="35"/>
      <c r="O53" s="35"/>
      <c r="P53" s="33">
        <v>84706720.099999979</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32</v>
      </c>
      <c r="H56" s="25"/>
    </row>
    <row r="57" spans="1:17" ht="27" customHeight="1" thickBot="1" x14ac:dyDescent="0.3">
      <c r="D57" s="248" t="s">
        <v>67</v>
      </c>
      <c r="E57" s="249"/>
      <c r="F57" s="249"/>
      <c r="G57" s="27"/>
      <c r="H57" s="28">
        <v>32</v>
      </c>
    </row>
  </sheetData>
  <mergeCells count="2">
    <mergeCell ref="D56:F56"/>
    <mergeCell ref="D57:F57"/>
  </mergeCells>
  <conditionalFormatting sqref="G54">
    <cfRule type="cellIs" dxfId="125" priority="13" stopIfTrue="1" operator="greaterThan">
      <formula>2.5</formula>
    </cfRule>
    <cfRule type="cellIs" dxfId="124" priority="14" stopIfTrue="1" operator="between">
      <formula>2.01</formula>
      <formula>2.5</formula>
    </cfRule>
  </conditionalFormatting>
  <conditionalFormatting sqref="H3:H53">
    <cfRule type="cellIs" dxfId="123" priority="12" stopIfTrue="1" operator="lessThan">
      <formula>1</formula>
    </cfRule>
  </conditionalFormatting>
  <conditionalFormatting sqref="G3:G53">
    <cfRule type="cellIs" dxfId="122" priority="10" stopIfTrue="1" operator="greaterThan">
      <formula>2.5</formula>
    </cfRule>
    <cfRule type="cellIs" dxfId="121" priority="11" stopIfTrue="1" operator="between">
      <formula>2.01</formula>
      <formula>2.5</formula>
    </cfRule>
  </conditionalFormatting>
  <conditionalFormatting sqref="K3:K52">
    <cfRule type="cellIs" dxfId="120" priority="8" stopIfTrue="1" operator="greaterThan">
      <formula>$F3*2.5</formula>
    </cfRule>
    <cfRule type="cellIs" dxfId="119" priority="9" stopIfTrue="1" operator="between">
      <formula>$F3*2</formula>
      <formula>$F3*2.5</formula>
    </cfRule>
  </conditionalFormatting>
  <conditionalFormatting sqref="G54">
    <cfRule type="cellIs" dxfId="118" priority="6" stopIfTrue="1" operator="greaterThan">
      <formula>2.5</formula>
    </cfRule>
    <cfRule type="cellIs" dxfId="117" priority="7" stopIfTrue="1" operator="between">
      <formula>2.01</formula>
      <formula>2.5</formula>
    </cfRule>
  </conditionalFormatting>
  <conditionalFormatting sqref="H3:H53">
    <cfRule type="cellIs" dxfId="116" priority="5" stopIfTrue="1" operator="lessThan">
      <formula>1</formula>
    </cfRule>
  </conditionalFormatting>
  <conditionalFormatting sqref="G3:G53">
    <cfRule type="cellIs" dxfId="115" priority="3" stopIfTrue="1" operator="greaterThan">
      <formula>2.5</formula>
    </cfRule>
    <cfRule type="cellIs" dxfId="114" priority="4" stopIfTrue="1" operator="between">
      <formula>2.01</formula>
      <formula>2.5</formula>
    </cfRule>
  </conditionalFormatting>
  <conditionalFormatting sqref="K3:K52">
    <cfRule type="cellIs" dxfId="113" priority="1" stopIfTrue="1" operator="greaterThan">
      <formula>$F3*2.5</formula>
    </cfRule>
    <cfRule type="cellIs" dxfId="112"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4541E-1986-440F-A009-3E3CB09340FC}">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
        <v>306</v>
      </c>
      <c r="B1" s="196" t="s">
        <v>307</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23</v>
      </c>
      <c r="B3" s="13">
        <v>1161972037.8499999</v>
      </c>
      <c r="C3" s="13">
        <v>1023855517.88</v>
      </c>
      <c r="D3" s="13">
        <v>138116519.96999991</v>
      </c>
      <c r="E3" s="13">
        <v>31902327.370000001</v>
      </c>
      <c r="F3" s="13">
        <v>24581601</v>
      </c>
      <c r="G3" s="14">
        <v>5.62</v>
      </c>
      <c r="H3" s="14">
        <v>1.3</v>
      </c>
      <c r="I3" s="13">
        <v>2658527.2808333333</v>
      </c>
      <c r="J3" s="15">
        <v>8</v>
      </c>
      <c r="K3" s="13">
        <v>116848301.72333324</v>
      </c>
      <c r="L3" s="13">
        <v>11119164.746249989</v>
      </c>
      <c r="M3" s="13">
        <v>9582814.6837499887</v>
      </c>
      <c r="N3" s="197">
        <v>43647</v>
      </c>
      <c r="O3" s="16">
        <v>46204</v>
      </c>
      <c r="P3" s="13">
        <v>8150039.2699999996</v>
      </c>
      <c r="Q3" s="243" t="e">
        <v>#VALUE!</v>
      </c>
    </row>
    <row r="4" spans="1:17" x14ac:dyDescent="0.2">
      <c r="A4" s="4" t="s">
        <v>62</v>
      </c>
      <c r="B4" s="13">
        <v>722479384.32000005</v>
      </c>
      <c r="C4" s="13">
        <v>653629138.23000002</v>
      </c>
      <c r="D4" s="13">
        <v>68850246.090000033</v>
      </c>
      <c r="E4" s="13">
        <v>12710789.74</v>
      </c>
      <c r="F4" s="13">
        <v>13783001</v>
      </c>
      <c r="G4" s="14">
        <v>5</v>
      </c>
      <c r="H4" s="14">
        <v>0.92</v>
      </c>
      <c r="I4" s="13">
        <v>1059232.4783333333</v>
      </c>
      <c r="J4" s="15">
        <v>8</v>
      </c>
      <c r="K4" s="13">
        <v>60376386.263333365</v>
      </c>
      <c r="L4" s="13">
        <v>5160530.5112500042</v>
      </c>
      <c r="M4" s="13">
        <v>4299092.9487500042</v>
      </c>
      <c r="N4" s="197">
        <v>43647</v>
      </c>
      <c r="O4" s="16">
        <v>46204</v>
      </c>
      <c r="P4" s="13">
        <v>3135415.63</v>
      </c>
      <c r="Q4" s="242" t="e">
        <v>#VALUE!</v>
      </c>
    </row>
    <row r="5" spans="1:17" x14ac:dyDescent="0.2">
      <c r="A5" s="4" t="s">
        <v>46</v>
      </c>
      <c r="B5" s="13">
        <v>1834758280.3599999</v>
      </c>
      <c r="C5" s="13">
        <v>1606858641.25</v>
      </c>
      <c r="D5" s="13">
        <v>227899639.1099999</v>
      </c>
      <c r="E5" s="13">
        <v>43122716.799999997</v>
      </c>
      <c r="F5" s="13">
        <v>46162390</v>
      </c>
      <c r="G5" s="14">
        <v>4.9400000000000004</v>
      </c>
      <c r="H5" s="14">
        <v>0.93</v>
      </c>
      <c r="I5" s="13">
        <v>3593559.7333333329</v>
      </c>
      <c r="J5" s="15">
        <v>2</v>
      </c>
      <c r="K5" s="13">
        <v>220712519.64333323</v>
      </c>
      <c r="L5" s="13">
        <v>67787429.554999948</v>
      </c>
      <c r="M5" s="13">
        <v>56246832.054999948</v>
      </c>
      <c r="N5" s="197">
        <v>43831</v>
      </c>
      <c r="O5" s="16">
        <v>46023</v>
      </c>
      <c r="P5" s="13">
        <v>4465163.78</v>
      </c>
      <c r="Q5" s="242" t="e">
        <v>#VALUE!</v>
      </c>
    </row>
    <row r="6" spans="1:17" x14ac:dyDescent="0.2">
      <c r="A6" s="4" t="s">
        <v>35</v>
      </c>
      <c r="B6" s="13">
        <v>1503333344.97</v>
      </c>
      <c r="C6" s="13">
        <v>1349338943.3299999</v>
      </c>
      <c r="D6" s="13">
        <v>153994401.6400001</v>
      </c>
      <c r="E6" s="13">
        <v>42768303.350000001</v>
      </c>
      <c r="F6" s="13">
        <v>34090474</v>
      </c>
      <c r="G6" s="14">
        <v>4.5199999999999996</v>
      </c>
      <c r="H6" s="14">
        <v>1.25</v>
      </c>
      <c r="I6" s="13">
        <v>3564025.2791666668</v>
      </c>
      <c r="J6" s="15">
        <v>8</v>
      </c>
      <c r="K6" s="13">
        <v>125482199.40666677</v>
      </c>
      <c r="L6" s="13">
        <v>10726681.705000013</v>
      </c>
      <c r="M6" s="13">
        <v>8596027.0800000131</v>
      </c>
      <c r="N6" s="197">
        <v>43647</v>
      </c>
      <c r="O6" s="16">
        <v>46204</v>
      </c>
      <c r="P6" s="13">
        <v>4959953.79</v>
      </c>
      <c r="Q6" s="242" t="e">
        <v>#VALUE!</v>
      </c>
    </row>
    <row r="7" spans="1:17" x14ac:dyDescent="0.2">
      <c r="A7" s="4" t="s">
        <v>36</v>
      </c>
      <c r="B7" s="13">
        <v>872347192</v>
      </c>
      <c r="C7" s="13">
        <v>798853854.24000001</v>
      </c>
      <c r="D7" s="13">
        <v>73493337.75999999</v>
      </c>
      <c r="E7" s="13">
        <v>15667277.859999999</v>
      </c>
      <c r="F7" s="13">
        <v>19090913</v>
      </c>
      <c r="G7" s="14">
        <v>3.85</v>
      </c>
      <c r="H7" s="14">
        <v>0.82</v>
      </c>
      <c r="I7" s="13">
        <v>1305606.4883333333</v>
      </c>
      <c r="J7" s="15">
        <v>0</v>
      </c>
      <c r="K7" s="13">
        <v>73493337.75999999</v>
      </c>
      <c r="L7" s="13" t="s">
        <v>193</v>
      </c>
      <c r="M7" s="13" t="s">
        <v>193</v>
      </c>
      <c r="N7" s="197">
        <v>43739</v>
      </c>
      <c r="O7" s="16">
        <v>45931</v>
      </c>
      <c r="P7" s="13">
        <v>0</v>
      </c>
      <c r="Q7" s="242" t="e">
        <v>#VALUE!</v>
      </c>
    </row>
    <row r="8" spans="1:17" x14ac:dyDescent="0.2">
      <c r="A8" s="4" t="s">
        <v>30</v>
      </c>
      <c r="B8" s="13">
        <v>1194714205.73</v>
      </c>
      <c r="C8" s="13">
        <v>1093547604.4000001</v>
      </c>
      <c r="D8" s="13">
        <v>101166601.32999992</v>
      </c>
      <c r="E8" s="13">
        <v>21439637.890000001</v>
      </c>
      <c r="F8" s="13">
        <v>26571929</v>
      </c>
      <c r="G8" s="14">
        <v>3.81</v>
      </c>
      <c r="H8" s="14">
        <v>0.81</v>
      </c>
      <c r="I8" s="13">
        <v>1786636.4908333335</v>
      </c>
      <c r="J8" s="15">
        <v>8</v>
      </c>
      <c r="K8" s="13">
        <v>86873509.403333262</v>
      </c>
      <c r="L8" s="13">
        <v>6002842.9162499905</v>
      </c>
      <c r="M8" s="13">
        <v>4342097.3537499905</v>
      </c>
      <c r="N8" s="197">
        <v>43647</v>
      </c>
      <c r="O8" s="16">
        <v>46204</v>
      </c>
      <c r="P8" s="13">
        <v>1266117</v>
      </c>
      <c r="Q8" s="242" t="e">
        <v>#VALUE!</v>
      </c>
    </row>
    <row r="9" spans="1:17" x14ac:dyDescent="0.2">
      <c r="A9" s="4" t="s">
        <v>40</v>
      </c>
      <c r="B9" s="13">
        <v>511163315.91000003</v>
      </c>
      <c r="C9" s="13">
        <v>471073951.56</v>
      </c>
      <c r="D9" s="13">
        <v>40089364.350000024</v>
      </c>
      <c r="E9" s="13">
        <v>7506941.7599999998</v>
      </c>
      <c r="F9" s="13">
        <v>10598087</v>
      </c>
      <c r="G9" s="14">
        <v>3.78</v>
      </c>
      <c r="H9" s="14">
        <v>0.71</v>
      </c>
      <c r="I9" s="13">
        <v>625578.48</v>
      </c>
      <c r="J9" s="15">
        <v>8</v>
      </c>
      <c r="K9" s="13">
        <v>35084736.51000002</v>
      </c>
      <c r="L9" s="13">
        <v>2361648.793750003</v>
      </c>
      <c r="M9" s="13">
        <v>1699268.356250003</v>
      </c>
      <c r="N9" s="197">
        <v>43647</v>
      </c>
      <c r="O9" s="16">
        <v>46204</v>
      </c>
      <c r="P9" s="13">
        <v>458800.96</v>
      </c>
      <c r="Q9" s="242" t="e">
        <v>#VALUE!</v>
      </c>
    </row>
    <row r="10" spans="1:17" x14ac:dyDescent="0.2">
      <c r="A10" s="4" t="s">
        <v>44</v>
      </c>
      <c r="B10" s="13">
        <v>504504813</v>
      </c>
      <c r="C10" s="13">
        <v>463275328.70999998</v>
      </c>
      <c r="D10" s="13">
        <v>41229484.290000021</v>
      </c>
      <c r="E10" s="13">
        <v>12796491.18</v>
      </c>
      <c r="F10" s="13">
        <v>10946097</v>
      </c>
      <c r="G10" s="14">
        <v>3.77</v>
      </c>
      <c r="H10" s="14">
        <v>1.17</v>
      </c>
      <c r="I10" s="13">
        <v>1066374.2649999999</v>
      </c>
      <c r="J10" s="15">
        <v>2</v>
      </c>
      <c r="K10" s="13">
        <v>39096735.76000002</v>
      </c>
      <c r="L10" s="13">
        <v>9668645.1450000107</v>
      </c>
      <c r="M10" s="13">
        <v>6932120.8950000107</v>
      </c>
      <c r="N10" s="197">
        <v>43831</v>
      </c>
      <c r="O10" s="16">
        <v>46023</v>
      </c>
      <c r="P10" s="13">
        <v>2950581.72</v>
      </c>
      <c r="Q10" s="242" t="e">
        <v>#VALUE!</v>
      </c>
    </row>
    <row r="11" spans="1:17" x14ac:dyDescent="0.2">
      <c r="A11" s="4" t="s">
        <v>60</v>
      </c>
      <c r="B11" s="13">
        <v>813673223</v>
      </c>
      <c r="C11" s="13">
        <v>741052987.53999996</v>
      </c>
      <c r="D11" s="13">
        <v>72620235.460000038</v>
      </c>
      <c r="E11" s="13">
        <v>14455192.73</v>
      </c>
      <c r="F11" s="13">
        <v>19453948</v>
      </c>
      <c r="G11" s="14">
        <v>3.73</v>
      </c>
      <c r="H11" s="14">
        <v>0.74</v>
      </c>
      <c r="I11" s="13">
        <v>1204599.3941666668</v>
      </c>
      <c r="J11" s="15">
        <v>8</v>
      </c>
      <c r="K11" s="13">
        <v>62983440.306666702</v>
      </c>
      <c r="L11" s="13">
        <v>4214042.4325000048</v>
      </c>
      <c r="M11" s="13">
        <v>2998170.6825000048</v>
      </c>
      <c r="N11" s="197">
        <v>43647</v>
      </c>
      <c r="O11" s="16">
        <v>46204</v>
      </c>
      <c r="P11" s="13">
        <v>1170702.58</v>
      </c>
      <c r="Q11" s="242" t="e">
        <v>#VALUE!</v>
      </c>
    </row>
    <row r="12" spans="1:17" x14ac:dyDescent="0.2">
      <c r="A12" s="4" t="s">
        <v>52</v>
      </c>
      <c r="B12" s="13">
        <v>1966895481</v>
      </c>
      <c r="C12" s="13">
        <v>1886928121.1300001</v>
      </c>
      <c r="D12" s="13">
        <v>79967359.869999886</v>
      </c>
      <c r="E12" s="13">
        <v>21620461.039999999</v>
      </c>
      <c r="F12" s="13">
        <v>21788490</v>
      </c>
      <c r="G12" s="14">
        <v>3.67</v>
      </c>
      <c r="H12" s="14">
        <v>0.99</v>
      </c>
      <c r="I12" s="13">
        <v>1801705.0866666667</v>
      </c>
      <c r="J12" s="15">
        <v>8</v>
      </c>
      <c r="K12" s="13">
        <v>65553719.17666655</v>
      </c>
      <c r="L12" s="13">
        <v>4548797.4837499857</v>
      </c>
      <c r="M12" s="13">
        <v>3187016.8587499857</v>
      </c>
      <c r="N12" s="197">
        <v>43647</v>
      </c>
      <c r="O12" s="16">
        <v>46204</v>
      </c>
      <c r="P12" s="13">
        <v>2916927.26</v>
      </c>
      <c r="Q12" s="242" t="e">
        <v>#VALUE!</v>
      </c>
    </row>
    <row r="13" spans="1:17" x14ac:dyDescent="0.2">
      <c r="A13" s="4" t="s">
        <v>64</v>
      </c>
      <c r="B13" s="13">
        <v>124445693.39</v>
      </c>
      <c r="C13" s="13">
        <v>111735275.84</v>
      </c>
      <c r="D13" s="13">
        <v>12710417.549999997</v>
      </c>
      <c r="E13" s="13">
        <v>6543186.8799999999</v>
      </c>
      <c r="F13" s="13">
        <v>3545933</v>
      </c>
      <c r="G13" s="14">
        <v>3.58</v>
      </c>
      <c r="H13" s="14">
        <v>1.85</v>
      </c>
      <c r="I13" s="13">
        <v>545265.57333333336</v>
      </c>
      <c r="J13" s="15">
        <v>2</v>
      </c>
      <c r="K13" s="13">
        <v>11619886.403333331</v>
      </c>
      <c r="L13" s="13">
        <v>2809275.7749999985</v>
      </c>
      <c r="M13" s="13">
        <v>1922792.5249999985</v>
      </c>
      <c r="N13" s="197">
        <v>43831</v>
      </c>
      <c r="O13" s="16">
        <v>46023</v>
      </c>
      <c r="P13" s="13">
        <v>526194.42000000004</v>
      </c>
      <c r="Q13" s="242" t="e">
        <v>#VALUE!</v>
      </c>
    </row>
    <row r="14" spans="1:17" x14ac:dyDescent="0.2">
      <c r="A14" s="4" t="s">
        <v>16</v>
      </c>
      <c r="B14" s="13">
        <v>107063879</v>
      </c>
      <c r="C14" s="13">
        <v>97685762.849999994</v>
      </c>
      <c r="D14" s="13">
        <v>9378116.150000006</v>
      </c>
      <c r="E14" s="13">
        <v>2056011.63</v>
      </c>
      <c r="F14" s="13">
        <v>2669761</v>
      </c>
      <c r="G14" s="14">
        <v>3.51</v>
      </c>
      <c r="H14" s="14">
        <v>0.77</v>
      </c>
      <c r="I14" s="13">
        <v>171334.30249999999</v>
      </c>
      <c r="J14" s="15">
        <v>8</v>
      </c>
      <c r="K14" s="13">
        <v>8007441.730000006</v>
      </c>
      <c r="L14" s="13">
        <v>504824.26875000075</v>
      </c>
      <c r="M14" s="13">
        <v>337964.20625000075</v>
      </c>
      <c r="N14" s="197">
        <v>43647</v>
      </c>
      <c r="O14" s="16">
        <v>46204</v>
      </c>
      <c r="P14" s="13">
        <v>42520.24</v>
      </c>
      <c r="Q14" s="242" t="e">
        <v>#VALUE!</v>
      </c>
    </row>
    <row r="15" spans="1:17" x14ac:dyDescent="0.2">
      <c r="A15" s="4" t="s">
        <v>26</v>
      </c>
      <c r="B15" s="13">
        <v>1365257298.0599999</v>
      </c>
      <c r="C15" s="13">
        <v>1265354915.9100001</v>
      </c>
      <c r="D15" s="13">
        <v>99902382.149999857</v>
      </c>
      <c r="E15" s="13">
        <v>50622275.640000001</v>
      </c>
      <c r="F15" s="13">
        <v>28988172</v>
      </c>
      <c r="G15" s="14">
        <v>3.45</v>
      </c>
      <c r="H15" s="14">
        <v>1.75</v>
      </c>
      <c r="I15" s="13">
        <v>4218522.97</v>
      </c>
      <c r="J15" s="15">
        <v>2</v>
      </c>
      <c r="K15" s="13">
        <v>91465336.209999859</v>
      </c>
      <c r="L15" s="13">
        <v>20963019.074999928</v>
      </c>
      <c r="M15" s="13">
        <v>13715976.074999928</v>
      </c>
      <c r="N15" s="197">
        <v>43831</v>
      </c>
      <c r="O15" s="16">
        <v>46023</v>
      </c>
      <c r="P15" s="13">
        <v>2737284.91</v>
      </c>
      <c r="Q15" s="242" t="e">
        <v>#VALUE!</v>
      </c>
    </row>
    <row r="16" spans="1:17" x14ac:dyDescent="0.2">
      <c r="A16" s="4" t="s">
        <v>43</v>
      </c>
      <c r="B16" s="13">
        <v>307409614.24000001</v>
      </c>
      <c r="C16" s="13">
        <v>283711190.82999998</v>
      </c>
      <c r="D16" s="13">
        <v>23698423.410000026</v>
      </c>
      <c r="E16" s="13">
        <v>4415384.2300000004</v>
      </c>
      <c r="F16" s="13">
        <v>6878551</v>
      </c>
      <c r="G16" s="14">
        <v>3.45</v>
      </c>
      <c r="H16" s="14">
        <v>0.64</v>
      </c>
      <c r="I16" s="13">
        <v>367948.68583333335</v>
      </c>
      <c r="J16" s="15">
        <v>8</v>
      </c>
      <c r="K16" s="13">
        <v>20754833.923333358</v>
      </c>
      <c r="L16" s="13">
        <v>1242665.1762500033</v>
      </c>
      <c r="M16" s="13">
        <v>812755.73875000328</v>
      </c>
      <c r="N16" s="197">
        <v>43647</v>
      </c>
      <c r="O16" s="16">
        <v>46204</v>
      </c>
      <c r="P16" s="13">
        <v>823900.2</v>
      </c>
      <c r="Q16" s="242" t="e">
        <v>#VALUE!</v>
      </c>
    </row>
    <row r="17" spans="1:17" x14ac:dyDescent="0.2">
      <c r="A17" s="4" t="s">
        <v>39</v>
      </c>
      <c r="B17" s="13">
        <v>271317340</v>
      </c>
      <c r="C17" s="13">
        <v>250398489.13999999</v>
      </c>
      <c r="D17" s="13">
        <v>20918850.860000014</v>
      </c>
      <c r="E17" s="13">
        <v>7085243.1600000001</v>
      </c>
      <c r="F17" s="13">
        <v>6196840</v>
      </c>
      <c r="G17" s="14">
        <v>3.38</v>
      </c>
      <c r="H17" s="14">
        <v>1.1399999999999999</v>
      </c>
      <c r="I17" s="13">
        <v>590436.93000000005</v>
      </c>
      <c r="J17" s="15">
        <v>5</v>
      </c>
      <c r="K17" s="13">
        <v>17966666.210000016</v>
      </c>
      <c r="L17" s="13">
        <v>1705034.1720000028</v>
      </c>
      <c r="M17" s="13">
        <v>1085350.1720000028</v>
      </c>
      <c r="N17" s="197">
        <v>43922</v>
      </c>
      <c r="O17" s="16">
        <v>46113</v>
      </c>
      <c r="P17" s="13">
        <v>824664.85</v>
      </c>
      <c r="Q17" s="242" t="e">
        <v>#VALUE!</v>
      </c>
    </row>
    <row r="18" spans="1:17" x14ac:dyDescent="0.2">
      <c r="A18" s="4" t="s">
        <v>20</v>
      </c>
      <c r="B18" s="13">
        <v>402118853.93000001</v>
      </c>
      <c r="C18" s="13">
        <v>370630150.81</v>
      </c>
      <c r="D18" s="13">
        <v>31488703.120000005</v>
      </c>
      <c r="E18" s="13">
        <v>6000262.8399999999</v>
      </c>
      <c r="F18" s="13">
        <v>9522686</v>
      </c>
      <c r="G18" s="14">
        <v>3.31</v>
      </c>
      <c r="H18" s="14">
        <v>0.63</v>
      </c>
      <c r="I18" s="13">
        <v>500021.90333333332</v>
      </c>
      <c r="J18" s="15">
        <v>5</v>
      </c>
      <c r="K18" s="13">
        <v>28988593.603333339</v>
      </c>
      <c r="L18" s="13">
        <v>2488666.2240000009</v>
      </c>
      <c r="M18" s="13">
        <v>1536397.624000001</v>
      </c>
      <c r="N18" s="197">
        <v>43556</v>
      </c>
      <c r="O18" s="16">
        <v>46113</v>
      </c>
      <c r="P18" s="13">
        <v>248210.87</v>
      </c>
      <c r="Q18" s="242" t="e">
        <v>#VALUE!</v>
      </c>
    </row>
    <row r="19" spans="1:17" x14ac:dyDescent="0.2">
      <c r="A19" s="4" t="s">
        <v>53</v>
      </c>
      <c r="B19" s="13">
        <v>208940278.25</v>
      </c>
      <c r="C19" s="13">
        <v>189884375.31999999</v>
      </c>
      <c r="D19" s="13">
        <v>19055902.930000007</v>
      </c>
      <c r="E19" s="13">
        <v>6502755.0599999996</v>
      </c>
      <c r="F19" s="13">
        <v>5755637</v>
      </c>
      <c r="G19" s="14">
        <v>3.31</v>
      </c>
      <c r="H19" s="14">
        <v>1.1299999999999999</v>
      </c>
      <c r="I19" s="13">
        <v>541896.255</v>
      </c>
      <c r="J19" s="15">
        <v>8</v>
      </c>
      <c r="K19" s="13">
        <v>14720732.890000008</v>
      </c>
      <c r="L19" s="13">
        <v>943078.61625000089</v>
      </c>
      <c r="M19" s="13">
        <v>583351.30375000089</v>
      </c>
      <c r="N19" s="197">
        <v>43647</v>
      </c>
      <c r="O19" s="16">
        <v>46204</v>
      </c>
      <c r="P19" s="13">
        <v>96039.9</v>
      </c>
      <c r="Q19" s="242" t="e">
        <v>#VALUE!</v>
      </c>
    </row>
    <row r="20" spans="1:17" x14ac:dyDescent="0.2">
      <c r="A20" s="4" t="s">
        <v>54</v>
      </c>
      <c r="B20" s="13">
        <v>1042589157.45</v>
      </c>
      <c r="C20" s="13">
        <v>980404299.73000002</v>
      </c>
      <c r="D20" s="13">
        <v>62184857.720000029</v>
      </c>
      <c r="E20" s="13">
        <v>20097737.530000001</v>
      </c>
      <c r="F20" s="13">
        <v>20158365</v>
      </c>
      <c r="G20" s="14">
        <v>3.08</v>
      </c>
      <c r="H20" s="14">
        <v>1</v>
      </c>
      <c r="I20" s="13">
        <v>1674811.4608333334</v>
      </c>
      <c r="J20" s="15">
        <v>5</v>
      </c>
      <c r="K20" s="13">
        <v>53810800.415833361</v>
      </c>
      <c r="L20" s="13">
        <v>4373625.5440000053</v>
      </c>
      <c r="M20" s="13">
        <v>2357789.0440000058</v>
      </c>
      <c r="N20" s="197">
        <v>43922</v>
      </c>
      <c r="O20" s="16">
        <v>46113</v>
      </c>
      <c r="P20" s="13">
        <v>3345256.78</v>
      </c>
      <c r="Q20" s="242" t="e">
        <v>#VALUE!</v>
      </c>
    </row>
    <row r="21" spans="1:17" x14ac:dyDescent="0.2">
      <c r="A21" s="4" t="s">
        <v>55</v>
      </c>
      <c r="B21" s="13">
        <v>259883413</v>
      </c>
      <c r="C21" s="13">
        <v>243099732.75</v>
      </c>
      <c r="D21" s="13">
        <v>16783680.25</v>
      </c>
      <c r="E21" s="13">
        <v>5187395.3</v>
      </c>
      <c r="F21" s="13">
        <v>5643956</v>
      </c>
      <c r="G21" s="14">
        <v>2.97</v>
      </c>
      <c r="H21" s="14">
        <v>0.92</v>
      </c>
      <c r="I21" s="13">
        <v>432282.94166666665</v>
      </c>
      <c r="J21" s="15">
        <v>2</v>
      </c>
      <c r="K21" s="13">
        <v>15919114.366666667</v>
      </c>
      <c r="L21" s="13">
        <v>2747884.125</v>
      </c>
      <c r="M21" s="13">
        <v>1336895.125</v>
      </c>
      <c r="N21" s="197">
        <v>43831</v>
      </c>
      <c r="O21" s="16">
        <v>46023</v>
      </c>
      <c r="P21" s="13">
        <v>0</v>
      </c>
      <c r="Q21" s="242" t="e">
        <v>#VALUE!</v>
      </c>
    </row>
    <row r="22" spans="1:17" x14ac:dyDescent="0.2">
      <c r="A22" s="4" t="s">
        <v>38</v>
      </c>
      <c r="B22" s="13">
        <v>1033187132</v>
      </c>
      <c r="C22" s="13">
        <v>965400138.23000002</v>
      </c>
      <c r="D22" s="13">
        <v>67786993.769999981</v>
      </c>
      <c r="E22" s="13">
        <v>24358241.170000002</v>
      </c>
      <c r="F22" s="13">
        <v>22862412</v>
      </c>
      <c r="G22" s="14">
        <v>2.96</v>
      </c>
      <c r="H22" s="14">
        <v>1.07</v>
      </c>
      <c r="I22" s="13">
        <v>2029853.4308333334</v>
      </c>
      <c r="J22" s="15">
        <v>5</v>
      </c>
      <c r="K22" s="13">
        <v>57637726.615833312</v>
      </c>
      <c r="L22" s="13">
        <v>4412433.9539999962</v>
      </c>
      <c r="M22" s="13">
        <v>2126192.753999996</v>
      </c>
      <c r="N22" s="197">
        <v>43922</v>
      </c>
      <c r="O22" s="16">
        <v>46113</v>
      </c>
      <c r="P22" s="13">
        <v>2504540.14</v>
      </c>
      <c r="Q22" s="242" t="e">
        <v>#VALUE!</v>
      </c>
    </row>
    <row r="23" spans="1:17" x14ac:dyDescent="0.2">
      <c r="A23" s="4" t="s">
        <v>28</v>
      </c>
      <c r="B23" s="13">
        <v>1083940953</v>
      </c>
      <c r="C23" s="13">
        <v>1012598531.25</v>
      </c>
      <c r="D23" s="13">
        <v>71342421.75</v>
      </c>
      <c r="E23" s="13">
        <v>17398985.559999999</v>
      </c>
      <c r="F23" s="13">
        <v>24208645</v>
      </c>
      <c r="G23" s="14">
        <v>2.95</v>
      </c>
      <c r="H23" s="14">
        <v>0.72</v>
      </c>
      <c r="I23" s="13">
        <v>1449915.4633333331</v>
      </c>
      <c r="J23" s="15">
        <v>2</v>
      </c>
      <c r="K23" s="13">
        <v>68442590.823333338</v>
      </c>
      <c r="L23" s="13">
        <v>11462565.875</v>
      </c>
      <c r="M23" s="13">
        <v>5410404.625</v>
      </c>
      <c r="N23" s="197">
        <v>43831</v>
      </c>
      <c r="O23" s="16">
        <v>46023</v>
      </c>
      <c r="P23" s="13">
        <v>2058983</v>
      </c>
      <c r="Q23" s="242" t="e">
        <v>#VALUE!</v>
      </c>
    </row>
    <row r="24" spans="1:17" x14ac:dyDescent="0.2">
      <c r="A24" s="4" t="s">
        <v>29</v>
      </c>
      <c r="B24" s="13">
        <v>689945660</v>
      </c>
      <c r="C24" s="13">
        <v>646506785.76999998</v>
      </c>
      <c r="D24" s="13">
        <v>43438874.230000019</v>
      </c>
      <c r="E24" s="13">
        <v>9114258.4499999993</v>
      </c>
      <c r="F24" s="13">
        <v>14901309</v>
      </c>
      <c r="G24" s="14">
        <v>2.92</v>
      </c>
      <c r="H24" s="14">
        <v>0.61</v>
      </c>
      <c r="I24" s="13">
        <v>759521.53749999998</v>
      </c>
      <c r="J24" s="15">
        <v>2</v>
      </c>
      <c r="K24" s="13">
        <v>41919831.155000016</v>
      </c>
      <c r="L24" s="13">
        <v>6818128.1150000095</v>
      </c>
      <c r="M24" s="13">
        <v>3092800.8650000095</v>
      </c>
      <c r="N24" s="197">
        <v>43466</v>
      </c>
      <c r="O24" s="16">
        <v>46023</v>
      </c>
      <c r="P24" s="13">
        <v>486484.75</v>
      </c>
      <c r="Q24" s="242" t="e">
        <v>#VALUE!</v>
      </c>
    </row>
    <row r="25" spans="1:17" x14ac:dyDescent="0.2">
      <c r="A25" s="4" t="s">
        <v>24</v>
      </c>
      <c r="B25" s="13">
        <v>1683242657.0699999</v>
      </c>
      <c r="C25" s="13">
        <v>1566268731.8199999</v>
      </c>
      <c r="D25" s="13">
        <v>116973925.25</v>
      </c>
      <c r="E25" s="13">
        <v>26438646.239999998</v>
      </c>
      <c r="F25" s="13">
        <v>40945091</v>
      </c>
      <c r="G25" s="14">
        <v>2.86</v>
      </c>
      <c r="H25" s="14">
        <v>0.65</v>
      </c>
      <c r="I25" s="13">
        <v>2203220.52</v>
      </c>
      <c r="J25" s="15">
        <v>8</v>
      </c>
      <c r="K25" s="13">
        <v>99348161.090000004</v>
      </c>
      <c r="L25" s="13">
        <v>4385467.90625</v>
      </c>
      <c r="M25" s="13" t="s">
        <v>192</v>
      </c>
      <c r="N25" s="197">
        <v>43647</v>
      </c>
      <c r="O25" s="16">
        <v>46204</v>
      </c>
      <c r="P25" s="13">
        <v>2464250.67</v>
      </c>
      <c r="Q25" s="242" t="e">
        <v>#VALUE!</v>
      </c>
    </row>
    <row r="26" spans="1:17" x14ac:dyDescent="0.2">
      <c r="A26" s="4" t="s">
        <v>47</v>
      </c>
      <c r="B26" s="13">
        <v>190999038.36000001</v>
      </c>
      <c r="C26" s="13">
        <v>180871507.41</v>
      </c>
      <c r="D26" s="13">
        <v>10127530.950000018</v>
      </c>
      <c r="E26" s="13">
        <v>7057104.0199999996</v>
      </c>
      <c r="F26" s="13">
        <v>3551615</v>
      </c>
      <c r="G26" s="14">
        <v>2.85</v>
      </c>
      <c r="H26" s="14">
        <v>1.99</v>
      </c>
      <c r="I26" s="13">
        <v>588092.00166666659</v>
      </c>
      <c r="J26" s="15">
        <v>8</v>
      </c>
      <c r="K26" s="13">
        <v>5422794.9366666852</v>
      </c>
      <c r="L26" s="13" t="s">
        <v>192</v>
      </c>
      <c r="M26" s="13" t="s">
        <v>192</v>
      </c>
      <c r="N26" s="197">
        <v>43647</v>
      </c>
      <c r="O26" s="16">
        <v>46204</v>
      </c>
      <c r="P26" s="13">
        <v>89835.24</v>
      </c>
      <c r="Q26" s="242" t="e">
        <v>#VALUE!</v>
      </c>
    </row>
    <row r="27" spans="1:17" x14ac:dyDescent="0.2">
      <c r="A27" s="4" t="s">
        <v>45</v>
      </c>
      <c r="B27" s="13">
        <v>1276422533.53</v>
      </c>
      <c r="C27" s="13">
        <v>1142958654.8299999</v>
      </c>
      <c r="D27" s="13">
        <v>133463878.70000005</v>
      </c>
      <c r="E27" s="13">
        <v>43684022.899999999</v>
      </c>
      <c r="F27" s="13">
        <v>47644860</v>
      </c>
      <c r="G27" s="14">
        <v>2.8</v>
      </c>
      <c r="H27" s="14">
        <v>0.92</v>
      </c>
      <c r="I27" s="13">
        <v>3640335.2416666667</v>
      </c>
      <c r="J27" s="15">
        <v>2</v>
      </c>
      <c r="K27" s="13">
        <v>126183208.21666671</v>
      </c>
      <c r="L27" s="13">
        <v>19087079.350000024</v>
      </c>
      <c r="M27" s="13">
        <v>7175864.3500000238</v>
      </c>
      <c r="N27" s="197">
        <v>43831</v>
      </c>
      <c r="O27" s="16">
        <v>46023</v>
      </c>
      <c r="P27" s="13">
        <v>3808294.28</v>
      </c>
      <c r="Q27" s="242" t="e">
        <v>#VALUE!</v>
      </c>
    </row>
    <row r="28" spans="1:17" x14ac:dyDescent="0.2">
      <c r="A28" s="4" t="s">
        <v>51</v>
      </c>
      <c r="B28" s="13">
        <v>2041893568.29</v>
      </c>
      <c r="C28" s="13">
        <v>1928001045.7</v>
      </c>
      <c r="D28" s="13">
        <v>113892522.58999991</v>
      </c>
      <c r="E28" s="13">
        <v>40680513.670000002</v>
      </c>
      <c r="F28" s="13">
        <v>40828727</v>
      </c>
      <c r="G28" s="14">
        <v>2.79</v>
      </c>
      <c r="H28" s="14">
        <v>1</v>
      </c>
      <c r="I28" s="13">
        <v>3390042.8058333336</v>
      </c>
      <c r="J28" s="15">
        <v>2</v>
      </c>
      <c r="K28" s="13">
        <v>107112436.97833325</v>
      </c>
      <c r="L28" s="13">
        <v>16117534.294999957</v>
      </c>
      <c r="M28" s="13">
        <v>5910352.5449999571</v>
      </c>
      <c r="N28" s="197">
        <v>43831</v>
      </c>
      <c r="O28" s="16">
        <v>46023</v>
      </c>
      <c r="P28" s="13">
        <v>3608032</v>
      </c>
      <c r="Q28" s="242" t="e">
        <v>#VALUE!</v>
      </c>
    </row>
    <row r="29" spans="1:17" x14ac:dyDescent="0.2">
      <c r="A29" s="4" t="s">
        <v>19</v>
      </c>
      <c r="B29" s="13">
        <v>1468177330.9100001</v>
      </c>
      <c r="C29" s="13">
        <v>1387198085.6800001</v>
      </c>
      <c r="D29" s="13">
        <v>80979245.230000019</v>
      </c>
      <c r="E29" s="13">
        <v>52183454.149999999</v>
      </c>
      <c r="F29" s="13">
        <v>29748591</v>
      </c>
      <c r="G29" s="14">
        <v>2.72</v>
      </c>
      <c r="H29" s="14">
        <v>1.75</v>
      </c>
      <c r="I29" s="13">
        <v>4348621.1791666662</v>
      </c>
      <c r="J29" s="15">
        <v>8</v>
      </c>
      <c r="K29" s="13">
        <v>46190275.796666689</v>
      </c>
      <c r="L29" s="13" t="s">
        <v>192</v>
      </c>
      <c r="M29" s="13" t="s">
        <v>192</v>
      </c>
      <c r="N29" s="197">
        <v>43647</v>
      </c>
      <c r="O29" s="16">
        <v>46204</v>
      </c>
      <c r="P29" s="13">
        <v>3089812.94</v>
      </c>
      <c r="Q29" s="242" t="e">
        <v>#VALUE!</v>
      </c>
    </row>
    <row r="30" spans="1:17" x14ac:dyDescent="0.2">
      <c r="A30" s="4" t="s">
        <v>37</v>
      </c>
      <c r="B30" s="13">
        <v>1263148065.8299999</v>
      </c>
      <c r="C30" s="13">
        <v>1198760632.1099999</v>
      </c>
      <c r="D30" s="13">
        <v>64387433.720000029</v>
      </c>
      <c r="E30" s="13">
        <v>22952726.93</v>
      </c>
      <c r="F30" s="13">
        <v>23759923</v>
      </c>
      <c r="G30" s="14">
        <v>2.71</v>
      </c>
      <c r="H30" s="14">
        <v>0.97</v>
      </c>
      <c r="I30" s="13">
        <v>1912727.2441666666</v>
      </c>
      <c r="J30" s="15">
        <v>8</v>
      </c>
      <c r="K30" s="13">
        <v>49085615.766666695</v>
      </c>
      <c r="L30" s="13">
        <v>2108448.4650000036</v>
      </c>
      <c r="M30" s="13" t="s">
        <v>192</v>
      </c>
      <c r="N30" s="197">
        <v>43647</v>
      </c>
      <c r="O30" s="16">
        <v>46204</v>
      </c>
      <c r="P30" s="13">
        <v>2125589.62</v>
      </c>
      <c r="Q30" s="242" t="e">
        <v>#VALUE!</v>
      </c>
    </row>
    <row r="31" spans="1:17" x14ac:dyDescent="0.2">
      <c r="A31" s="4" t="s">
        <v>33</v>
      </c>
      <c r="B31" s="13">
        <v>321862947.48000002</v>
      </c>
      <c r="C31" s="13">
        <v>301935620.91000003</v>
      </c>
      <c r="D31" s="13">
        <v>19927326.569999993</v>
      </c>
      <c r="E31" s="13">
        <v>8288277.9900000002</v>
      </c>
      <c r="F31" s="13">
        <v>7416560</v>
      </c>
      <c r="G31" s="14">
        <v>2.69</v>
      </c>
      <c r="H31" s="14">
        <v>1.1200000000000001</v>
      </c>
      <c r="I31" s="13">
        <v>690689.83250000002</v>
      </c>
      <c r="J31" s="15">
        <v>8</v>
      </c>
      <c r="K31" s="13">
        <v>14401807.909999993</v>
      </c>
      <c r="L31" s="13" t="s">
        <v>192</v>
      </c>
      <c r="M31" s="13" t="s">
        <v>192</v>
      </c>
      <c r="N31" s="197">
        <v>43647</v>
      </c>
      <c r="O31" s="16">
        <v>46204</v>
      </c>
      <c r="P31" s="13">
        <v>1726792.2</v>
      </c>
      <c r="Q31" s="242" t="e">
        <v>#VALUE!</v>
      </c>
    </row>
    <row r="32" spans="1:17" x14ac:dyDescent="0.2">
      <c r="A32" s="4" t="s">
        <v>21</v>
      </c>
      <c r="B32" s="13">
        <v>542289730.02999997</v>
      </c>
      <c r="C32" s="13">
        <v>505121112.76999998</v>
      </c>
      <c r="D32" s="13">
        <v>37168617.25999999</v>
      </c>
      <c r="E32" s="13">
        <v>11967382.810000001</v>
      </c>
      <c r="F32" s="13">
        <v>13960891</v>
      </c>
      <c r="G32" s="14">
        <v>2.66</v>
      </c>
      <c r="H32" s="14">
        <v>0.86</v>
      </c>
      <c r="I32" s="13">
        <v>997281.90083333338</v>
      </c>
      <c r="J32" s="15">
        <v>8</v>
      </c>
      <c r="K32" s="13">
        <v>29190362.053333323</v>
      </c>
      <c r="L32" s="13">
        <v>1155854.4074999988</v>
      </c>
      <c r="M32" s="13" t="s">
        <v>192</v>
      </c>
      <c r="N32" s="197">
        <v>43647</v>
      </c>
      <c r="O32" s="16">
        <v>46204</v>
      </c>
      <c r="P32" s="13">
        <v>0</v>
      </c>
      <c r="Q32" s="242" t="e">
        <v>#VALUE!</v>
      </c>
    </row>
    <row r="33" spans="1:17" x14ac:dyDescent="0.2">
      <c r="A33" s="4" t="s">
        <v>18</v>
      </c>
      <c r="B33" s="13">
        <v>817050825.05999994</v>
      </c>
      <c r="C33" s="13">
        <v>771164260.01999998</v>
      </c>
      <c r="D33" s="13">
        <v>45886565.039999962</v>
      </c>
      <c r="E33" s="13">
        <v>26998157.93</v>
      </c>
      <c r="F33" s="13">
        <v>17644408</v>
      </c>
      <c r="G33" s="14">
        <v>2.6</v>
      </c>
      <c r="H33" s="14">
        <v>1.53</v>
      </c>
      <c r="I33" s="13">
        <v>2249846.4941666666</v>
      </c>
      <c r="J33" s="15">
        <v>8</v>
      </c>
      <c r="K33" s="13">
        <v>27887793.086666629</v>
      </c>
      <c r="L33" s="13" t="s">
        <v>192</v>
      </c>
      <c r="M33" s="13" t="s">
        <v>192</v>
      </c>
      <c r="N33" s="197">
        <v>43647</v>
      </c>
      <c r="O33" s="16">
        <v>46204</v>
      </c>
      <c r="P33" s="13">
        <v>1305107.75</v>
      </c>
      <c r="Q33" s="242" t="e">
        <v>#VALUE!</v>
      </c>
    </row>
    <row r="34" spans="1:17" x14ac:dyDescent="0.2">
      <c r="A34" s="4" t="s">
        <v>56</v>
      </c>
      <c r="B34" s="13">
        <v>1182377479</v>
      </c>
      <c r="C34" s="13">
        <v>1111178807.29</v>
      </c>
      <c r="D34" s="13">
        <v>71198671.710000038</v>
      </c>
      <c r="E34" s="13">
        <v>22299444.190000001</v>
      </c>
      <c r="F34" s="13">
        <v>27472066</v>
      </c>
      <c r="G34" s="14">
        <v>2.59</v>
      </c>
      <c r="H34" s="14">
        <v>0.81</v>
      </c>
      <c r="I34" s="13">
        <v>1858287.0158333334</v>
      </c>
      <c r="J34" s="15">
        <v>8</v>
      </c>
      <c r="K34" s="13">
        <v>56332375.583333373</v>
      </c>
      <c r="L34" s="13">
        <v>2031817.4637500048</v>
      </c>
      <c r="M34" s="13" t="s">
        <v>192</v>
      </c>
      <c r="N34" s="197">
        <v>43647</v>
      </c>
      <c r="O34" s="16">
        <v>46204</v>
      </c>
      <c r="P34" s="13">
        <v>2033911.2</v>
      </c>
      <c r="Q34" s="242" t="e">
        <v>#VALUE!</v>
      </c>
    </row>
    <row r="35" spans="1:17" x14ac:dyDescent="0.2">
      <c r="A35" s="4" t="s">
        <v>27</v>
      </c>
      <c r="B35" s="13">
        <v>1340428223.5599999</v>
      </c>
      <c r="C35" s="13">
        <v>1271531446.3299999</v>
      </c>
      <c r="D35" s="13">
        <v>68896777.230000019</v>
      </c>
      <c r="E35" s="13">
        <v>22803779.719999999</v>
      </c>
      <c r="F35" s="13">
        <v>30689455</v>
      </c>
      <c r="G35" s="14">
        <v>2.2400000000000002</v>
      </c>
      <c r="H35" s="14">
        <v>0.74</v>
      </c>
      <c r="I35" s="13">
        <v>1900314.9766666666</v>
      </c>
      <c r="J35" s="15">
        <v>8</v>
      </c>
      <c r="K35" s="13">
        <v>53694257.416666687</v>
      </c>
      <c r="L35" s="13" t="s">
        <v>192</v>
      </c>
      <c r="M35" s="13" t="s">
        <v>192</v>
      </c>
      <c r="N35" s="197">
        <v>43647</v>
      </c>
      <c r="O35" s="16">
        <v>46204</v>
      </c>
      <c r="P35" s="13">
        <v>331702.5</v>
      </c>
      <c r="Q35" s="242" t="e">
        <v>#VALUE!</v>
      </c>
    </row>
    <row r="36" spans="1:17" x14ac:dyDescent="0.2">
      <c r="A36" s="4" t="s">
        <v>61</v>
      </c>
      <c r="B36" s="13">
        <v>535148479</v>
      </c>
      <c r="C36" s="13">
        <v>505930971.39999998</v>
      </c>
      <c r="D36" s="13">
        <v>29217507.600000024</v>
      </c>
      <c r="E36" s="13">
        <v>12600629.98</v>
      </c>
      <c r="F36" s="13">
        <v>13099382</v>
      </c>
      <c r="G36" s="14">
        <v>2.23</v>
      </c>
      <c r="H36" s="14">
        <v>0.96</v>
      </c>
      <c r="I36" s="13">
        <v>1050052.4983333333</v>
      </c>
      <c r="J36" s="15">
        <v>8</v>
      </c>
      <c r="K36" s="13">
        <v>20817087.613333359</v>
      </c>
      <c r="L36" s="13" t="s">
        <v>192</v>
      </c>
      <c r="M36" s="13" t="s">
        <v>192</v>
      </c>
      <c r="N36" s="197">
        <v>43647</v>
      </c>
      <c r="O36" s="16">
        <v>46204</v>
      </c>
      <c r="P36" s="13">
        <v>628838.79</v>
      </c>
      <c r="Q36" s="242" t="e">
        <v>#VALUE!</v>
      </c>
    </row>
    <row r="37" spans="1:17" x14ac:dyDescent="0.2">
      <c r="A37" s="4" t="s">
        <v>42</v>
      </c>
      <c r="B37" s="13">
        <v>355494147</v>
      </c>
      <c r="C37" s="13">
        <v>334580192.73000002</v>
      </c>
      <c r="D37" s="13">
        <v>20913954.269999981</v>
      </c>
      <c r="E37" s="13">
        <v>10083154.949999999</v>
      </c>
      <c r="F37" s="13">
        <v>9435207</v>
      </c>
      <c r="G37" s="14">
        <v>2.2200000000000002</v>
      </c>
      <c r="H37" s="14">
        <v>1.07</v>
      </c>
      <c r="I37" s="13">
        <v>840262.91249999998</v>
      </c>
      <c r="J37" s="15">
        <v>2</v>
      </c>
      <c r="K37" s="13">
        <v>19233428.444999982</v>
      </c>
      <c r="L37" s="13">
        <v>1021770.1349999905</v>
      </c>
      <c r="M37" s="13" t="s">
        <v>192</v>
      </c>
      <c r="N37" s="197">
        <v>43831</v>
      </c>
      <c r="O37" s="16">
        <v>46023</v>
      </c>
      <c r="P37" s="13">
        <v>588926.46</v>
      </c>
      <c r="Q37" s="242" t="e">
        <v>#VALUE!</v>
      </c>
    </row>
    <row r="38" spans="1:17" x14ac:dyDescent="0.2">
      <c r="A38" s="4" t="s">
        <v>57</v>
      </c>
      <c r="B38" s="13">
        <v>2950491414.54</v>
      </c>
      <c r="C38" s="13">
        <v>2794031426.1300001</v>
      </c>
      <c r="D38" s="13">
        <v>156459988.40999985</v>
      </c>
      <c r="E38" s="13">
        <v>60350025.560000002</v>
      </c>
      <c r="F38" s="13">
        <v>71178309</v>
      </c>
      <c r="G38" s="14">
        <v>2.2000000000000002</v>
      </c>
      <c r="H38" s="14">
        <v>0.85</v>
      </c>
      <c r="I38" s="13">
        <v>5029168.7966666669</v>
      </c>
      <c r="J38" s="15">
        <v>0</v>
      </c>
      <c r="K38" s="13">
        <v>156459988.40999985</v>
      </c>
      <c r="L38" s="13" t="s">
        <v>193</v>
      </c>
      <c r="M38" s="13" t="s">
        <v>192</v>
      </c>
      <c r="N38" s="197">
        <v>44075</v>
      </c>
      <c r="O38" s="16">
        <v>45901</v>
      </c>
      <c r="P38" s="13">
        <v>6908742.8899999997</v>
      </c>
      <c r="Q38" s="242" t="e">
        <v>#VALUE!</v>
      </c>
    </row>
    <row r="39" spans="1:17" x14ac:dyDescent="0.2">
      <c r="A39" s="4" t="s">
        <v>15</v>
      </c>
      <c r="B39" s="13">
        <v>1108314599.5</v>
      </c>
      <c r="C39" s="13">
        <v>1058875955.87</v>
      </c>
      <c r="D39" s="13">
        <v>49438643.629999995</v>
      </c>
      <c r="E39" s="13">
        <v>19817604.359999999</v>
      </c>
      <c r="F39" s="13">
        <v>23039495</v>
      </c>
      <c r="G39" s="14">
        <v>2.15</v>
      </c>
      <c r="H39" s="14">
        <v>0.86</v>
      </c>
      <c r="I39" s="13">
        <v>1651467.03</v>
      </c>
      <c r="J39" s="15">
        <v>5</v>
      </c>
      <c r="K39" s="13">
        <v>41181308.479999997</v>
      </c>
      <c r="L39" s="13" t="s">
        <v>192</v>
      </c>
      <c r="M39" s="13" t="s">
        <v>192</v>
      </c>
      <c r="N39" s="197">
        <v>43556</v>
      </c>
      <c r="O39" s="16">
        <v>46113</v>
      </c>
      <c r="P39" s="13">
        <v>1984899.77</v>
      </c>
      <c r="Q39" s="242" t="e">
        <v>#VALUE!</v>
      </c>
    </row>
    <row r="40" spans="1:17" x14ac:dyDescent="0.2">
      <c r="A40" s="4" t="s">
        <v>31</v>
      </c>
      <c r="B40" s="13">
        <v>1227877221</v>
      </c>
      <c r="C40" s="13">
        <v>1179657664.4300001</v>
      </c>
      <c r="D40" s="13">
        <v>48219556.569999933</v>
      </c>
      <c r="E40" s="13">
        <v>19556519.129999999</v>
      </c>
      <c r="F40" s="13">
        <v>22761731</v>
      </c>
      <c r="G40" s="14">
        <v>2.12</v>
      </c>
      <c r="H40" s="14">
        <v>0.86</v>
      </c>
      <c r="I40" s="13">
        <v>1629709.9275</v>
      </c>
      <c r="J40" s="15">
        <v>5</v>
      </c>
      <c r="K40" s="13">
        <v>40071006.93249993</v>
      </c>
      <c r="L40" s="13" t="s">
        <v>192</v>
      </c>
      <c r="M40" s="13" t="s">
        <v>192</v>
      </c>
      <c r="N40" s="197">
        <v>43922</v>
      </c>
      <c r="O40" s="16">
        <v>46113</v>
      </c>
      <c r="P40" s="13">
        <v>1278569.05</v>
      </c>
      <c r="Q40" s="242" t="e">
        <v>#VALUE!</v>
      </c>
    </row>
    <row r="41" spans="1:17" x14ac:dyDescent="0.2">
      <c r="A41" s="4" t="s">
        <v>25</v>
      </c>
      <c r="B41" s="13">
        <v>351543186.45999998</v>
      </c>
      <c r="C41" s="13">
        <v>333358883.94999999</v>
      </c>
      <c r="D41" s="13">
        <v>18184302.50999999</v>
      </c>
      <c r="E41" s="13">
        <v>7330562.5</v>
      </c>
      <c r="F41" s="13">
        <v>8658249</v>
      </c>
      <c r="G41" s="14">
        <v>2.1</v>
      </c>
      <c r="H41" s="14">
        <v>0.85</v>
      </c>
      <c r="I41" s="13">
        <v>610880.20833333337</v>
      </c>
      <c r="J41" s="15">
        <v>5</v>
      </c>
      <c r="K41" s="13">
        <v>15129901.468333323</v>
      </c>
      <c r="L41" s="13" t="s">
        <v>192</v>
      </c>
      <c r="M41" s="13" t="s">
        <v>192</v>
      </c>
      <c r="N41" s="197">
        <v>43556</v>
      </c>
      <c r="O41" s="16">
        <v>46113</v>
      </c>
      <c r="P41" s="13">
        <v>0</v>
      </c>
      <c r="Q41" s="242" t="e">
        <v>#VALUE!</v>
      </c>
    </row>
    <row r="42" spans="1:17" x14ac:dyDescent="0.2">
      <c r="A42" s="4" t="s">
        <v>59</v>
      </c>
      <c r="B42" s="13">
        <v>285086766</v>
      </c>
      <c r="C42" s="13">
        <v>269752681</v>
      </c>
      <c r="D42" s="13">
        <v>15334085</v>
      </c>
      <c r="E42" s="13">
        <v>4819938.97</v>
      </c>
      <c r="F42" s="13">
        <v>7485780</v>
      </c>
      <c r="G42" s="14">
        <v>2.0499999999999998</v>
      </c>
      <c r="H42" s="14">
        <v>0.64</v>
      </c>
      <c r="I42" s="13">
        <v>401661.58083333331</v>
      </c>
      <c r="J42" s="15">
        <v>8</v>
      </c>
      <c r="K42" s="13">
        <v>12120792.353333334</v>
      </c>
      <c r="L42" s="13" t="s">
        <v>192</v>
      </c>
      <c r="M42" s="13" t="s">
        <v>192</v>
      </c>
      <c r="N42" s="197">
        <v>43647</v>
      </c>
      <c r="O42" s="16">
        <v>46204</v>
      </c>
      <c r="P42" s="13">
        <v>568390</v>
      </c>
      <c r="Q42" s="242" t="e">
        <v>#VALUE!</v>
      </c>
    </row>
    <row r="43" spans="1:17" x14ac:dyDescent="0.2">
      <c r="A43" s="4" t="s">
        <v>49</v>
      </c>
      <c r="B43" s="13">
        <v>699328036.19000006</v>
      </c>
      <c r="C43" s="13">
        <v>672663691.65999997</v>
      </c>
      <c r="D43" s="13">
        <v>26664344.530000091</v>
      </c>
      <c r="E43" s="13">
        <v>10174274.039999999</v>
      </c>
      <c r="F43" s="13">
        <v>14024709</v>
      </c>
      <c r="G43" s="14">
        <v>1.9</v>
      </c>
      <c r="H43" s="14">
        <v>0.73</v>
      </c>
      <c r="I43" s="13">
        <v>847856.16999999993</v>
      </c>
      <c r="J43" s="15">
        <v>5</v>
      </c>
      <c r="K43" s="13">
        <v>22425063.680000089</v>
      </c>
      <c r="L43" s="13" t="s">
        <v>192</v>
      </c>
      <c r="M43" s="13" t="s">
        <v>192</v>
      </c>
      <c r="N43" s="197">
        <v>43922</v>
      </c>
      <c r="O43" s="16">
        <v>46113</v>
      </c>
      <c r="P43" s="13">
        <v>104572.42</v>
      </c>
      <c r="Q43" s="242" t="e">
        <v>#VALUE!</v>
      </c>
    </row>
    <row r="44" spans="1:17" x14ac:dyDescent="0.2">
      <c r="A44" s="4" t="s">
        <v>63</v>
      </c>
      <c r="B44" s="13">
        <v>1110426785</v>
      </c>
      <c r="C44" s="13">
        <v>1062662599.92</v>
      </c>
      <c r="D44" s="13">
        <v>47764185.080000043</v>
      </c>
      <c r="E44" s="13">
        <v>27682046.859999999</v>
      </c>
      <c r="F44" s="13">
        <v>27485501</v>
      </c>
      <c r="G44" s="14">
        <v>1.74</v>
      </c>
      <c r="H44" s="14">
        <v>1.01</v>
      </c>
      <c r="I44" s="13">
        <v>2306837.2383333333</v>
      </c>
      <c r="J44" s="15">
        <v>5</v>
      </c>
      <c r="K44" s="13">
        <v>36229998.88833338</v>
      </c>
      <c r="L44" s="13" t="s">
        <v>192</v>
      </c>
      <c r="M44" s="13" t="s">
        <v>192</v>
      </c>
      <c r="N44" s="197">
        <v>43922</v>
      </c>
      <c r="O44" s="16">
        <v>46113</v>
      </c>
      <c r="P44" s="13">
        <v>2243097.48</v>
      </c>
      <c r="Q44" s="242" t="e">
        <v>#VALUE!</v>
      </c>
    </row>
    <row r="45" spans="1:17" x14ac:dyDescent="0.2">
      <c r="A45" s="4" t="s">
        <v>48</v>
      </c>
      <c r="B45" s="13">
        <v>1985336227.8699999</v>
      </c>
      <c r="C45" s="13">
        <v>1907468702.26</v>
      </c>
      <c r="D45" s="13">
        <v>77867525.609999895</v>
      </c>
      <c r="E45" s="13">
        <v>41626174.850000001</v>
      </c>
      <c r="F45" s="13">
        <v>45588088</v>
      </c>
      <c r="G45" s="14">
        <v>1.71</v>
      </c>
      <c r="H45" s="14">
        <v>0.91</v>
      </c>
      <c r="I45" s="13">
        <v>3468847.9041666668</v>
      </c>
      <c r="J45" s="15">
        <v>8</v>
      </c>
      <c r="K45" s="13">
        <v>50116742.376666561</v>
      </c>
      <c r="L45" s="13" t="s">
        <v>192</v>
      </c>
      <c r="M45" s="13" t="s">
        <v>192</v>
      </c>
      <c r="N45" s="197">
        <v>43647</v>
      </c>
      <c r="O45" s="16">
        <v>46204</v>
      </c>
      <c r="P45" s="13">
        <v>2357547.0299999998</v>
      </c>
      <c r="Q45" s="242" t="e">
        <v>#VALUE!</v>
      </c>
    </row>
    <row r="46" spans="1:17" x14ac:dyDescent="0.2">
      <c r="A46" s="4" t="s">
        <v>50</v>
      </c>
      <c r="B46" s="13">
        <v>557171086.30999994</v>
      </c>
      <c r="C46" s="13">
        <v>537800142.30999994</v>
      </c>
      <c r="D46" s="13">
        <v>19370944</v>
      </c>
      <c r="E46" s="13">
        <v>14994809.060000001</v>
      </c>
      <c r="F46" s="13">
        <v>11761407</v>
      </c>
      <c r="G46" s="14">
        <v>1.65</v>
      </c>
      <c r="H46" s="14">
        <v>1.27</v>
      </c>
      <c r="I46" s="13">
        <v>1249567.4216666666</v>
      </c>
      <c r="J46" s="15">
        <v>2</v>
      </c>
      <c r="K46" s="13">
        <v>16871809.156666666</v>
      </c>
      <c r="L46" s="13" t="s">
        <v>192</v>
      </c>
      <c r="M46" s="13" t="s">
        <v>192</v>
      </c>
      <c r="N46" s="197">
        <v>43831</v>
      </c>
      <c r="O46" s="16">
        <v>46023</v>
      </c>
      <c r="P46" s="13">
        <v>1621443</v>
      </c>
      <c r="Q46" s="242" t="e">
        <v>#VALUE!</v>
      </c>
    </row>
    <row r="47" spans="1:17" x14ac:dyDescent="0.2">
      <c r="A47" s="4" t="s">
        <v>32</v>
      </c>
      <c r="B47" s="13">
        <v>509113932</v>
      </c>
      <c r="C47" s="13">
        <v>490241097.48000002</v>
      </c>
      <c r="D47" s="13">
        <v>18872834.519999981</v>
      </c>
      <c r="E47" s="13">
        <v>10582596.34</v>
      </c>
      <c r="F47" s="13">
        <v>11867952</v>
      </c>
      <c r="G47" s="14">
        <v>1.59</v>
      </c>
      <c r="H47" s="14">
        <v>0.89</v>
      </c>
      <c r="I47" s="13">
        <v>881883.02833333332</v>
      </c>
      <c r="J47" s="15">
        <v>2</v>
      </c>
      <c r="K47" s="13">
        <v>17109068.463333316</v>
      </c>
      <c r="L47" s="13" t="s">
        <v>192</v>
      </c>
      <c r="M47" s="13" t="s">
        <v>192</v>
      </c>
      <c r="N47" s="197">
        <v>43831</v>
      </c>
      <c r="O47" s="16">
        <v>46023</v>
      </c>
      <c r="P47" s="13">
        <v>340411.46</v>
      </c>
      <c r="Q47" s="242" t="e">
        <v>#VALUE!</v>
      </c>
    </row>
    <row r="48" spans="1:17" x14ac:dyDescent="0.2">
      <c r="A48" s="4" t="s">
        <v>34</v>
      </c>
      <c r="B48" s="13">
        <v>1428807757.99</v>
      </c>
      <c r="C48" s="13">
        <v>1374600542.3599999</v>
      </c>
      <c r="D48" s="13">
        <v>54207215.630000114</v>
      </c>
      <c r="E48" s="13">
        <v>42717876.520000003</v>
      </c>
      <c r="F48" s="13">
        <v>34424780</v>
      </c>
      <c r="G48" s="14">
        <v>1.57</v>
      </c>
      <c r="H48" s="14">
        <v>1.24</v>
      </c>
      <c r="I48" s="13">
        <v>3559823.0433333335</v>
      </c>
      <c r="J48" s="15">
        <v>5</v>
      </c>
      <c r="K48" s="13">
        <v>36408100.413333446</v>
      </c>
      <c r="L48" s="13" t="s">
        <v>192</v>
      </c>
      <c r="M48" s="13" t="s">
        <v>192</v>
      </c>
      <c r="N48" s="197">
        <v>43922</v>
      </c>
      <c r="O48" s="16">
        <v>46113</v>
      </c>
      <c r="P48" s="13">
        <v>2577096.25</v>
      </c>
      <c r="Q48" s="242" t="e">
        <v>#VALUE!</v>
      </c>
    </row>
    <row r="49" spans="1:17" x14ac:dyDescent="0.2">
      <c r="A49" s="4" t="s">
        <v>17</v>
      </c>
      <c r="B49" s="13">
        <v>398824318</v>
      </c>
      <c r="C49" s="13">
        <v>384948517.26999998</v>
      </c>
      <c r="D49" s="13">
        <v>13875800.730000019</v>
      </c>
      <c r="E49" s="13">
        <v>9631778.7400000002</v>
      </c>
      <c r="F49" s="13">
        <v>9664284</v>
      </c>
      <c r="G49" s="14">
        <v>1.44</v>
      </c>
      <c r="H49" s="14">
        <v>1</v>
      </c>
      <c r="I49" s="13">
        <v>802648.22833333339</v>
      </c>
      <c r="J49" s="15">
        <v>8</v>
      </c>
      <c r="K49" s="13">
        <v>7454614.9033333519</v>
      </c>
      <c r="L49" s="13" t="s">
        <v>192</v>
      </c>
      <c r="M49" s="13" t="s">
        <v>192</v>
      </c>
      <c r="N49" s="197">
        <v>43647</v>
      </c>
      <c r="O49" s="16">
        <v>46204</v>
      </c>
      <c r="P49" s="13">
        <v>550563.77</v>
      </c>
      <c r="Q49" s="242" t="e">
        <v>#VALUE!</v>
      </c>
    </row>
    <row r="50" spans="1:17" x14ac:dyDescent="0.2">
      <c r="A50" s="4" t="s">
        <v>58</v>
      </c>
      <c r="B50" s="13">
        <v>243764651</v>
      </c>
      <c r="C50" s="13">
        <v>236518570.05000001</v>
      </c>
      <c r="D50" s="13">
        <v>7246080.9499999881</v>
      </c>
      <c r="E50" s="13">
        <v>3108119.65</v>
      </c>
      <c r="F50" s="13">
        <v>5561418</v>
      </c>
      <c r="G50" s="14">
        <v>1.3</v>
      </c>
      <c r="H50" s="14">
        <v>0.56000000000000005</v>
      </c>
      <c r="I50" s="13">
        <v>259009.97083333333</v>
      </c>
      <c r="J50" s="15">
        <v>8</v>
      </c>
      <c r="K50" s="13">
        <v>5174001.1833333215</v>
      </c>
      <c r="L50" s="13" t="s">
        <v>192</v>
      </c>
      <c r="M50" s="13" t="s">
        <v>192</v>
      </c>
      <c r="N50" s="197">
        <v>43647</v>
      </c>
      <c r="O50" s="16">
        <v>46204</v>
      </c>
      <c r="P50" s="13">
        <v>0</v>
      </c>
      <c r="Q50" s="242" t="e">
        <v>#VALUE!</v>
      </c>
    </row>
    <row r="51" spans="1:17" x14ac:dyDescent="0.2">
      <c r="A51" s="4" t="s">
        <v>41</v>
      </c>
      <c r="B51" s="13">
        <v>101611843</v>
      </c>
      <c r="C51" s="13">
        <v>97941204.030000001</v>
      </c>
      <c r="D51" s="13">
        <v>3670638.9699999988</v>
      </c>
      <c r="E51" s="13">
        <v>4768359.92</v>
      </c>
      <c r="F51" s="13">
        <v>2910779</v>
      </c>
      <c r="G51" s="14">
        <v>1.26</v>
      </c>
      <c r="H51" s="14">
        <v>1.64</v>
      </c>
      <c r="I51" s="13">
        <v>397363.32666666666</v>
      </c>
      <c r="J51" s="15">
        <v>8</v>
      </c>
      <c r="K51" s="13">
        <v>491732.35666666552</v>
      </c>
      <c r="L51" s="13" t="s">
        <v>192</v>
      </c>
      <c r="M51" s="13" t="s">
        <v>192</v>
      </c>
      <c r="N51" s="197">
        <v>43647</v>
      </c>
      <c r="O51" s="16">
        <v>46204</v>
      </c>
      <c r="P51" s="13">
        <v>14122.74</v>
      </c>
      <c r="Q51" s="242" t="e">
        <v>#VALUE!</v>
      </c>
    </row>
    <row r="52" spans="1:17" x14ac:dyDescent="0.2">
      <c r="A52" s="4" t="s">
        <v>22</v>
      </c>
      <c r="B52" s="13">
        <v>78247436</v>
      </c>
      <c r="C52" s="13">
        <v>74842608.170000002</v>
      </c>
      <c r="D52" s="18">
        <v>3404827.8299999982</v>
      </c>
      <c r="E52" s="13">
        <v>1370612.13</v>
      </c>
      <c r="F52" s="13">
        <v>2776815</v>
      </c>
      <c r="G52" s="14">
        <v>1.23</v>
      </c>
      <c r="H52" s="14">
        <v>0.49</v>
      </c>
      <c r="I52" s="18">
        <v>114217.67749999999</v>
      </c>
      <c r="J52" s="15">
        <v>8</v>
      </c>
      <c r="K52" s="18">
        <v>2491086.4099999983</v>
      </c>
      <c r="L52" s="18" t="s">
        <v>192</v>
      </c>
      <c r="M52" s="18" t="s">
        <v>192</v>
      </c>
      <c r="N52" s="198">
        <v>43647</v>
      </c>
      <c r="O52" s="16">
        <v>46204</v>
      </c>
      <c r="P52" s="13">
        <v>37786.660000000003</v>
      </c>
      <c r="Q52" s="242" t="e">
        <v>#VALUE!</v>
      </c>
    </row>
    <row r="53" spans="1:17" x14ac:dyDescent="0.25">
      <c r="A53" s="36" t="s">
        <v>65</v>
      </c>
      <c r="B53" s="33">
        <v>44036420836.440002</v>
      </c>
      <c r="C53" s="13">
        <v>41186689092.589996</v>
      </c>
      <c r="D53" s="33">
        <v>2849731743.8500061</v>
      </c>
      <c r="E53" s="13">
        <v>969940471.27999997</v>
      </c>
      <c r="F53" s="13">
        <v>983785270</v>
      </c>
      <c r="G53" s="14">
        <v>2.9</v>
      </c>
      <c r="H53" s="14">
        <v>0.99</v>
      </c>
      <c r="I53" s="33">
        <v>80828372.606666669</v>
      </c>
      <c r="J53" s="34"/>
      <c r="K53" s="35"/>
      <c r="L53" s="35"/>
      <c r="M53" s="35"/>
      <c r="N53" s="35"/>
      <c r="O53" s="35"/>
      <c r="P53" s="33">
        <v>85556118.220000014</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v>32</v>
      </c>
      <c r="H56" s="25"/>
    </row>
    <row r="57" spans="1:17" ht="27" customHeight="1" thickBot="1" x14ac:dyDescent="0.3">
      <c r="D57" s="248" t="s">
        <v>67</v>
      </c>
      <c r="E57" s="249"/>
      <c r="F57" s="249"/>
      <c r="G57" s="27"/>
      <c r="H57" s="28">
        <v>30</v>
      </c>
    </row>
  </sheetData>
  <mergeCells count="2">
    <mergeCell ref="D56:F56"/>
    <mergeCell ref="D57:F57"/>
  </mergeCells>
  <conditionalFormatting sqref="G54">
    <cfRule type="cellIs" dxfId="111" priority="13" stopIfTrue="1" operator="greaterThan">
      <formula>2.5</formula>
    </cfRule>
    <cfRule type="cellIs" dxfId="110" priority="14" stopIfTrue="1" operator="between">
      <formula>2.01</formula>
      <formula>2.5</formula>
    </cfRule>
  </conditionalFormatting>
  <conditionalFormatting sqref="H3:H53">
    <cfRule type="cellIs" dxfId="109" priority="12" stopIfTrue="1" operator="lessThan">
      <formula>1</formula>
    </cfRule>
  </conditionalFormatting>
  <conditionalFormatting sqref="G3:G53">
    <cfRule type="cellIs" dxfId="108" priority="10" stopIfTrue="1" operator="greaterThan">
      <formula>2.5</formula>
    </cfRule>
    <cfRule type="cellIs" dxfId="107" priority="11" stopIfTrue="1" operator="between">
      <formula>2.01</formula>
      <formula>2.5</formula>
    </cfRule>
  </conditionalFormatting>
  <conditionalFormatting sqref="K3:K52">
    <cfRule type="cellIs" dxfId="106" priority="8" stopIfTrue="1" operator="greaterThan">
      <formula>$F3*2.5</formula>
    </cfRule>
    <cfRule type="cellIs" dxfId="105" priority="9" stopIfTrue="1" operator="between">
      <formula>$F3*2</formula>
      <formula>$F3*2.5</formula>
    </cfRule>
  </conditionalFormatting>
  <conditionalFormatting sqref="G54">
    <cfRule type="cellIs" dxfId="104" priority="6" stopIfTrue="1" operator="greaterThan">
      <formula>2.5</formula>
    </cfRule>
    <cfRule type="cellIs" dxfId="103" priority="7" stopIfTrue="1" operator="between">
      <formula>2.01</formula>
      <formula>2.5</formula>
    </cfRule>
  </conditionalFormatting>
  <conditionalFormatting sqref="H3:H53">
    <cfRule type="cellIs" dxfId="102" priority="5" stopIfTrue="1" operator="lessThan">
      <formula>1</formula>
    </cfRule>
  </conditionalFormatting>
  <conditionalFormatting sqref="G3:G53">
    <cfRule type="cellIs" dxfId="101" priority="3" stopIfTrue="1" operator="greaterThan">
      <formula>2.5</formula>
    </cfRule>
    <cfRule type="cellIs" dxfId="100" priority="4" stopIfTrue="1" operator="between">
      <formula>2.01</formula>
      <formula>2.5</formula>
    </cfRule>
  </conditionalFormatting>
  <conditionalFormatting sqref="K3:K52">
    <cfRule type="cellIs" dxfId="99" priority="1" stopIfTrue="1" operator="greaterThan">
      <formula>$F3*2.5</formula>
    </cfRule>
    <cfRule type="cellIs" dxfId="98"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D3A9D-BC39-4B6F-95AF-3D3B0DF4371C}">
  <sheetPr>
    <tabColor rgb="FF92D050"/>
    <pageSetUpPr fitToPage="1"/>
  </sheetPr>
  <dimension ref="A1:Q57"/>
  <sheetViews>
    <sheetView tabSelected="1" workbookViewId="0">
      <pane xSplit="1" ySplit="2" topLeftCell="B3" activePane="bottomRight" state="frozen"/>
      <selection activeCell="A19" sqref="A19:H81"/>
      <selection pane="topRight" activeCell="A19" sqref="A19:H81"/>
      <selection pane="bottomLeft" activeCell="A19" sqref="A19:H81"/>
      <selection pane="bottomRight" activeCell="P1" sqref="P1:Q65536"/>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hidden="1" customWidth="1"/>
    <col min="17" max="17" width="16.54296875" style="17" hidden="1" customWidth="1"/>
    <col min="18" max="16384" width="9.1796875" style="17"/>
  </cols>
  <sheetData>
    <row r="1" spans="1:17" s="8" customFormat="1" ht="18" x14ac:dyDescent="0.25">
      <c r="A1" s="4" t="str">
        <f>"Run Date: "&amp;'LOCCS Import'!C1&amp;"                                            As of: "&amp;'LOCCS Import'!C3</f>
        <v>Run Date: 09/30/2026                                            As of: 09/30/2026</v>
      </c>
      <c r="B1" s="196" t="str">
        <f>'LOCCS Import'!C3</f>
        <v>09/30/2026</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15</v>
      </c>
      <c r="B3" s="13">
        <f>VLOOKUP(A3,'LOCCS Import'!A$19:N$200,2,)</f>
        <v>1108314599.5</v>
      </c>
      <c r="C3" s="13">
        <f>VLOOKUP(A3,'LOCCS Import'!A$19:N$200,3,)</f>
        <v>1059194517.3099999</v>
      </c>
      <c r="D3" s="13">
        <f t="shared" ref="D3:D53" si="0">B3-C3</f>
        <v>49120082.190000057</v>
      </c>
      <c r="E3" s="13">
        <f>VLOOKUP(A3,'LOCCS Import'!A$19:N$200,4,)</f>
        <v>19946943.219999999</v>
      </c>
      <c r="F3" s="13">
        <f>VLOOKUP(A3,'LOCCS Import'!A$19:N$200,5,)</f>
        <v>23039495</v>
      </c>
      <c r="G3" s="14">
        <f>VLOOKUP(A3,'LOCCS Import'!A$19:N$200,6,)</f>
        <v>2.13</v>
      </c>
      <c r="H3" s="14">
        <f>VLOOKUP(A3,'LOCCS Import'!A$19:N$200,7,)</f>
        <v>0.87</v>
      </c>
      <c r="I3" s="13">
        <f t="shared" ref="I3:I53" si="1">E3/12</f>
        <v>1662245.2683333333</v>
      </c>
      <c r="J3" s="15">
        <f t="shared" ref="J3:J52" si="2">IF(((MONTH(O3))&lt;=(MONTH($B$1))),((MONTH(O3)-3)+12-(MONTH($B$1))),IF(((MONTH(O3)-3)-(MONTH($B$1)))&gt;0,(MONTH(O3)-3)-(MONTH($B$1)),0))</f>
        <v>4</v>
      </c>
      <c r="K3" s="13">
        <f t="shared" ref="K3:K52" si="3">IF(J3&lt;0,"NA",D3-(J3*I3))</f>
        <v>42471101.116666727</v>
      </c>
      <c r="L3" s="13" t="str">
        <f t="shared" ref="L3:L52" si="4">IF(K3&lt;F3*2,"on track",IF(J3&lt;1,"NA",(D3-F3*2)/J3))</f>
        <v>on track</v>
      </c>
      <c r="M3" s="13" t="str">
        <f t="shared" ref="M3:M52" si="5">IF(K3&lt;F3*2.5,"on track",IF(J3&lt;1,"NA",(D3-F3*2.5)/J3))</f>
        <v>on track</v>
      </c>
      <c r="N3" s="197">
        <v>43556</v>
      </c>
      <c r="O3" s="16">
        <f t="shared" ref="O3:O52" si="6">DATE(IF(MONTH($B$1)&lt;MONTH(N3),YEAR($B$1)-1,YEAR($B$1)),MONTH(N3),1)</f>
        <v>46113</v>
      </c>
      <c r="P3" s="13">
        <f ca="1">ROUND(C3-(VLOOKUP(A3,INDIRECT('LOCCS Import'!$E$3&amp;"$A$3"):INDIRECT('LOCCS Import'!$E$3&amp;"$O$54"),3,)),2)</f>
        <v>318561.44</v>
      </c>
      <c r="Q3" s="243" t="e">
        <f>#VALUE!</f>
        <v>#VALUE!</v>
      </c>
    </row>
    <row r="4" spans="1:17" x14ac:dyDescent="0.2">
      <c r="A4" s="4" t="s">
        <v>16</v>
      </c>
      <c r="B4" s="13">
        <f>VLOOKUP(A4,'LOCCS Import'!A$19:N$200,2,)</f>
        <v>109550014.73</v>
      </c>
      <c r="C4" s="13">
        <f>VLOOKUP(A4,'LOCCS Import'!A$19:N$200,3,)</f>
        <v>97908311.180000007</v>
      </c>
      <c r="D4" s="13">
        <f t="shared" si="0"/>
        <v>11641703.549999997</v>
      </c>
      <c r="E4" s="13">
        <f>VLOOKUP(A4,'LOCCS Import'!A$19:N$200,4,)</f>
        <v>2278559.96</v>
      </c>
      <c r="F4" s="13">
        <f>VLOOKUP(A4,'LOCCS Import'!A$19:N$200,5,)</f>
        <v>2564020</v>
      </c>
      <c r="G4" s="14">
        <f>VLOOKUP(A4,'LOCCS Import'!A$19:N$200,6,)</f>
        <v>4.54</v>
      </c>
      <c r="H4" s="14">
        <f>VLOOKUP(A4,'LOCCS Import'!A$19:N$200,7,)</f>
        <v>0.89</v>
      </c>
      <c r="I4" s="13">
        <f t="shared" si="1"/>
        <v>189879.99666666667</v>
      </c>
      <c r="J4" s="15">
        <f t="shared" si="2"/>
        <v>7</v>
      </c>
      <c r="K4" s="13">
        <f t="shared" si="3"/>
        <v>10312543.57333333</v>
      </c>
      <c r="L4" s="13">
        <f t="shared" si="4"/>
        <v>930523.36428571388</v>
      </c>
      <c r="M4" s="13">
        <f t="shared" si="5"/>
        <v>747379.0785714282</v>
      </c>
      <c r="N4" s="197">
        <v>43647</v>
      </c>
      <c r="O4" s="16">
        <f t="shared" si="6"/>
        <v>46204</v>
      </c>
      <c r="P4" s="13">
        <f ca="1">ROUND(C4-(VLOOKUP(A4,INDIRECT('LOCCS Import'!$E$3&amp;"$A$3"):INDIRECT('LOCCS Import'!$E$3&amp;"$O$54"),3,)),2)</f>
        <v>222548.33</v>
      </c>
      <c r="Q4" s="242" t="e">
        <f>#VALUE!</f>
        <v>#VALUE!</v>
      </c>
    </row>
    <row r="5" spans="1:17" x14ac:dyDescent="0.2">
      <c r="A5" s="4" t="s">
        <v>17</v>
      </c>
      <c r="B5" s="13">
        <f>VLOOKUP(A5,'LOCCS Import'!A$19:N$200,2,)</f>
        <v>408655001</v>
      </c>
      <c r="C5" s="13">
        <f>VLOOKUP(A5,'LOCCS Import'!A$19:N$200,3,)</f>
        <v>385798250.51999998</v>
      </c>
      <c r="D5" s="13">
        <f t="shared" si="0"/>
        <v>22856750.480000019</v>
      </c>
      <c r="E5" s="13">
        <f>VLOOKUP(A5,'LOCCS Import'!A$19:N$200,4,)</f>
        <v>9633226.2899999991</v>
      </c>
      <c r="F5" s="13">
        <f>VLOOKUP(A5,'LOCCS Import'!A$19:N$200,5,)</f>
        <v>9830683</v>
      </c>
      <c r="G5" s="14">
        <f>VLOOKUP(A5,'LOCCS Import'!A$19:N$200,6,)</f>
        <v>2.33</v>
      </c>
      <c r="H5" s="14">
        <f>VLOOKUP(A5,'LOCCS Import'!A$19:N$200,7,)</f>
        <v>0.98</v>
      </c>
      <c r="I5" s="13">
        <f t="shared" si="1"/>
        <v>802768.85749999993</v>
      </c>
      <c r="J5" s="15">
        <f t="shared" si="2"/>
        <v>7</v>
      </c>
      <c r="K5" s="13">
        <f t="shared" si="3"/>
        <v>17237368.477500021</v>
      </c>
      <c r="L5" s="13" t="str">
        <f t="shared" si="4"/>
        <v>on track</v>
      </c>
      <c r="M5" s="13" t="str">
        <f t="shared" si="5"/>
        <v>on track</v>
      </c>
      <c r="N5" s="197">
        <v>43647</v>
      </c>
      <c r="O5" s="16">
        <f t="shared" si="6"/>
        <v>46204</v>
      </c>
      <c r="P5" s="13">
        <f ca="1">ROUND(C5-(VLOOKUP(A5,INDIRECT('LOCCS Import'!$E$3&amp;"$A$3"):INDIRECT('LOCCS Import'!$E$3&amp;"$O$54"),3,)),2)</f>
        <v>849733.25</v>
      </c>
      <c r="Q5" s="242" t="e">
        <f>#VALUE!</f>
        <v>#VALUE!</v>
      </c>
    </row>
    <row r="6" spans="1:17" x14ac:dyDescent="0.2">
      <c r="A6" s="4" t="s">
        <v>18</v>
      </c>
      <c r="B6" s="13">
        <f>VLOOKUP(A6,'LOCCS Import'!A$19:N$200,2,)</f>
        <v>816303820.10000002</v>
      </c>
      <c r="C6" s="13">
        <f>VLOOKUP(A6,'LOCCS Import'!A$19:N$200,3,)</f>
        <v>772705659.38</v>
      </c>
      <c r="D6" s="13">
        <f t="shared" si="0"/>
        <v>43598160.720000029</v>
      </c>
      <c r="E6" s="13">
        <f>VLOOKUP(A6,'LOCCS Import'!A$19:N$200,4,)</f>
        <v>25461927.48</v>
      </c>
      <c r="F6" s="13">
        <f>VLOOKUP(A6,'LOCCS Import'!A$19:N$200,5,)</f>
        <v>17644408</v>
      </c>
      <c r="G6" s="14">
        <f>VLOOKUP(A6,'LOCCS Import'!A$19:N$200,6,)</f>
        <v>2.4700000000000002</v>
      </c>
      <c r="H6" s="14">
        <f>VLOOKUP(A6,'LOCCS Import'!A$19:N$200,7,)</f>
        <v>1.44</v>
      </c>
      <c r="I6" s="13">
        <f t="shared" si="1"/>
        <v>2121827.29</v>
      </c>
      <c r="J6" s="15">
        <f t="shared" si="2"/>
        <v>7</v>
      </c>
      <c r="K6" s="13">
        <f t="shared" si="3"/>
        <v>28745369.690000027</v>
      </c>
      <c r="L6" s="13" t="str">
        <f t="shared" si="4"/>
        <v>on track</v>
      </c>
      <c r="M6" s="13" t="str">
        <f t="shared" si="5"/>
        <v>on track</v>
      </c>
      <c r="N6" s="197">
        <v>43647</v>
      </c>
      <c r="O6" s="16">
        <f t="shared" si="6"/>
        <v>46204</v>
      </c>
      <c r="P6" s="13">
        <f ca="1">ROUND(C6-(VLOOKUP(A6,INDIRECT('LOCCS Import'!$E$3&amp;"$A$3"):INDIRECT('LOCCS Import'!$E$3&amp;"$O$54"),3,)),2)</f>
        <v>1541399.36</v>
      </c>
      <c r="Q6" s="242" t="e">
        <f>#VALUE!</f>
        <v>#VALUE!</v>
      </c>
    </row>
    <row r="7" spans="1:17" x14ac:dyDescent="0.2">
      <c r="A7" s="4" t="s">
        <v>19</v>
      </c>
      <c r="B7" s="13">
        <f>VLOOKUP(A7,'LOCCS Import'!A$19:N$200,2,)</f>
        <v>1468177330.9100001</v>
      </c>
      <c r="C7" s="13">
        <f>VLOOKUP(A7,'LOCCS Import'!A$19:N$200,3,)</f>
        <v>1389971452.72</v>
      </c>
      <c r="D7" s="13">
        <f t="shared" si="0"/>
        <v>78205878.190000057</v>
      </c>
      <c r="E7" s="13">
        <f>VLOOKUP(A7,'LOCCS Import'!A$19:N$200,4,)</f>
        <v>52942310.960000001</v>
      </c>
      <c r="F7" s="13">
        <f>VLOOKUP(A7,'LOCCS Import'!A$19:N$200,5,)</f>
        <v>29748591</v>
      </c>
      <c r="G7" s="14">
        <f>VLOOKUP(A7,'LOCCS Import'!A$19:N$200,6,)</f>
        <v>2.63</v>
      </c>
      <c r="H7" s="14">
        <f>VLOOKUP(A7,'LOCCS Import'!A$19:N$200,7,)</f>
        <v>1.78</v>
      </c>
      <c r="I7" s="13">
        <f t="shared" si="1"/>
        <v>4411859.2466666671</v>
      </c>
      <c r="J7" s="15">
        <f t="shared" si="2"/>
        <v>7</v>
      </c>
      <c r="K7" s="13">
        <f t="shared" si="3"/>
        <v>47322863.463333383</v>
      </c>
      <c r="L7" s="13" t="str">
        <f t="shared" si="4"/>
        <v>on track</v>
      </c>
      <c r="M7" s="13" t="str">
        <f t="shared" si="5"/>
        <v>on track</v>
      </c>
      <c r="N7" s="197">
        <v>43647</v>
      </c>
      <c r="O7" s="16">
        <f t="shared" si="6"/>
        <v>46204</v>
      </c>
      <c r="P7" s="13">
        <f ca="1">ROUND(C7-(VLOOKUP(A7,INDIRECT('LOCCS Import'!$E$3&amp;"$A$3"):INDIRECT('LOCCS Import'!$E$3&amp;"$O$54"),3,)),2)</f>
        <v>2773367.04</v>
      </c>
      <c r="Q7" s="242" t="e">
        <f>#VALUE!</f>
        <v>#VALUE!</v>
      </c>
    </row>
    <row r="8" spans="1:17" x14ac:dyDescent="0.2">
      <c r="A8" s="4" t="s">
        <v>20</v>
      </c>
      <c r="B8" s="13">
        <f>VLOOKUP(A8,'LOCCS Import'!A$19:N$200,2,)</f>
        <v>402118853.93000001</v>
      </c>
      <c r="C8" s="13">
        <f>VLOOKUP(A8,'LOCCS Import'!A$19:N$200,3,)</f>
        <v>370909283.29000002</v>
      </c>
      <c r="D8" s="13">
        <f t="shared" si="0"/>
        <v>31209570.639999986</v>
      </c>
      <c r="E8" s="13">
        <f>VLOOKUP(A8,'LOCCS Import'!A$19:N$200,4,)</f>
        <v>5554801.5300000003</v>
      </c>
      <c r="F8" s="13">
        <f>VLOOKUP(A8,'LOCCS Import'!A$19:N$200,5,)</f>
        <v>9522686</v>
      </c>
      <c r="G8" s="14">
        <f>VLOOKUP(A8,'LOCCS Import'!A$19:N$200,6,)</f>
        <v>3.28</v>
      </c>
      <c r="H8" s="14">
        <f>VLOOKUP(A8,'LOCCS Import'!A$19:N$200,7,)</f>
        <v>0.57999999999999996</v>
      </c>
      <c r="I8" s="13">
        <f t="shared" si="1"/>
        <v>462900.1275</v>
      </c>
      <c r="J8" s="15">
        <f t="shared" si="2"/>
        <v>4</v>
      </c>
      <c r="K8" s="13">
        <f t="shared" si="3"/>
        <v>29357970.129999984</v>
      </c>
      <c r="L8" s="13">
        <f t="shared" si="4"/>
        <v>3041049.6599999964</v>
      </c>
      <c r="M8" s="13">
        <f t="shared" si="5"/>
        <v>1850713.9099999964</v>
      </c>
      <c r="N8" s="197">
        <v>43556</v>
      </c>
      <c r="O8" s="16">
        <f t="shared" si="6"/>
        <v>46113</v>
      </c>
      <c r="P8" s="13">
        <f ca="1">ROUND(C8-(VLOOKUP(A8,INDIRECT('LOCCS Import'!$E$3&amp;"$A$3"):INDIRECT('LOCCS Import'!$E$3&amp;"$O$54"),3,)),2)</f>
        <v>279132.48</v>
      </c>
      <c r="Q8" s="242" t="e">
        <f>#VALUE!</f>
        <v>#VALUE!</v>
      </c>
    </row>
    <row r="9" spans="1:17" x14ac:dyDescent="0.2">
      <c r="A9" s="4" t="s">
        <v>21</v>
      </c>
      <c r="B9" s="13">
        <f>VLOOKUP(A9,'LOCCS Import'!A$19:N$200,2,)</f>
        <v>556192005.02999997</v>
      </c>
      <c r="C9" s="13">
        <f>VLOOKUP(A9,'LOCCS Import'!A$19:N$200,3,)</f>
        <v>506480655.77999997</v>
      </c>
      <c r="D9" s="13">
        <f t="shared" si="0"/>
        <v>49711349.25</v>
      </c>
      <c r="E9" s="13">
        <f>VLOOKUP(A9,'LOCCS Import'!A$19:N$200,4,)</f>
        <v>11967382.810000001</v>
      </c>
      <c r="F9" s="13">
        <f>VLOOKUP(A9,'LOCCS Import'!A$19:N$200,5,)</f>
        <v>13902275</v>
      </c>
      <c r="G9" s="14">
        <f>VLOOKUP(A9,'LOCCS Import'!A$19:N$200,6,)</f>
        <v>3.58</v>
      </c>
      <c r="H9" s="14">
        <f>VLOOKUP(A9,'LOCCS Import'!A$19:N$200,7,)</f>
        <v>0.86</v>
      </c>
      <c r="I9" s="13">
        <f t="shared" si="1"/>
        <v>997281.90083333338</v>
      </c>
      <c r="J9" s="15">
        <f t="shared" si="2"/>
        <v>7</v>
      </c>
      <c r="K9" s="13">
        <f t="shared" si="3"/>
        <v>42730375.944166668</v>
      </c>
      <c r="L9" s="13">
        <f t="shared" si="4"/>
        <v>3129542.75</v>
      </c>
      <c r="M9" s="13">
        <f t="shared" si="5"/>
        <v>2136523.1071428573</v>
      </c>
      <c r="N9" s="197">
        <v>43647</v>
      </c>
      <c r="O9" s="16">
        <f t="shared" si="6"/>
        <v>46204</v>
      </c>
      <c r="P9" s="13">
        <f ca="1">ROUND(C9-(VLOOKUP(A9,INDIRECT('LOCCS Import'!$E$3&amp;"$A$3"):INDIRECT('LOCCS Import'!$E$3&amp;"$O$54"),3,)),2)</f>
        <v>1359543.01</v>
      </c>
      <c r="Q9" s="242" t="e">
        <f>#VALUE!</f>
        <v>#VALUE!</v>
      </c>
    </row>
    <row r="10" spans="1:17" x14ac:dyDescent="0.2">
      <c r="A10" s="4" t="s">
        <v>22</v>
      </c>
      <c r="B10" s="13">
        <f>VLOOKUP(A10,'LOCCS Import'!A$19:N$200,2,)</f>
        <v>81043860</v>
      </c>
      <c r="C10" s="13">
        <f>VLOOKUP(A10,'LOCCS Import'!A$19:N$200,3,)</f>
        <v>75255882.549999997</v>
      </c>
      <c r="D10" s="13">
        <f t="shared" si="0"/>
        <v>5787977.450000003</v>
      </c>
      <c r="E10" s="13">
        <f>VLOOKUP(A10,'LOCCS Import'!A$19:N$200,4,)</f>
        <v>1651360.93</v>
      </c>
      <c r="F10" s="13">
        <f>VLOOKUP(A10,'LOCCS Import'!A$19:N$200,5,)</f>
        <v>2796424</v>
      </c>
      <c r="G10" s="14">
        <f>VLOOKUP(A10,'LOCCS Import'!A$19:N$200,6,)</f>
        <v>2.0699999999999998</v>
      </c>
      <c r="H10" s="14">
        <f>VLOOKUP(A10,'LOCCS Import'!A$19:N$200,7,)</f>
        <v>0.59</v>
      </c>
      <c r="I10" s="13">
        <f t="shared" si="1"/>
        <v>137613.41083333333</v>
      </c>
      <c r="J10" s="15">
        <f t="shared" si="2"/>
        <v>7</v>
      </c>
      <c r="K10" s="13">
        <f t="shared" si="3"/>
        <v>4824683.5741666695</v>
      </c>
      <c r="L10" s="13" t="str">
        <f t="shared" si="4"/>
        <v>on track</v>
      </c>
      <c r="M10" s="13" t="str">
        <f t="shared" si="5"/>
        <v>on track</v>
      </c>
      <c r="N10" s="197">
        <v>43647</v>
      </c>
      <c r="O10" s="16">
        <f t="shared" si="6"/>
        <v>46204</v>
      </c>
      <c r="P10" s="13">
        <f ca="1">ROUND(C10-(VLOOKUP(A10,INDIRECT('LOCCS Import'!$E$3&amp;"$A$3"):INDIRECT('LOCCS Import'!$E$3&amp;"$O$54"),3,)),2)</f>
        <v>413274.38</v>
      </c>
      <c r="Q10" s="242" t="e">
        <f>#VALUE!</f>
        <v>#VALUE!</v>
      </c>
    </row>
    <row r="11" spans="1:17" x14ac:dyDescent="0.2">
      <c r="A11" s="4" t="s">
        <v>23</v>
      </c>
      <c r="B11" s="13">
        <f>VLOOKUP(A11,'LOCCS Import'!A$19:N$200,2,)</f>
        <v>1161972037.8499999</v>
      </c>
      <c r="C11" s="13">
        <f>VLOOKUP(A11,'LOCCS Import'!A$19:N$200,3,)</f>
        <v>1029107494.6799999</v>
      </c>
      <c r="D11" s="13">
        <f t="shared" si="0"/>
        <v>132864543.16999996</v>
      </c>
      <c r="E11" s="13">
        <f>VLOOKUP(A11,'LOCCS Import'!A$19:N$200,4,)</f>
        <v>23833937.629999999</v>
      </c>
      <c r="F11" s="13">
        <f>VLOOKUP(A11,'LOCCS Import'!A$19:N$200,5,)</f>
        <v>24581601</v>
      </c>
      <c r="G11" s="14">
        <f>VLOOKUP(A11,'LOCCS Import'!A$19:N$200,6,)</f>
        <v>5.41</v>
      </c>
      <c r="H11" s="14">
        <f>VLOOKUP(A11,'LOCCS Import'!A$19:N$200,7,)</f>
        <v>0.97</v>
      </c>
      <c r="I11" s="13">
        <f t="shared" si="1"/>
        <v>1986161.4691666665</v>
      </c>
      <c r="J11" s="15">
        <f t="shared" si="2"/>
        <v>7</v>
      </c>
      <c r="K11" s="13">
        <f t="shared" si="3"/>
        <v>118961412.88583329</v>
      </c>
      <c r="L11" s="13">
        <f t="shared" si="4"/>
        <v>11957334.452857137</v>
      </c>
      <c r="M11" s="13">
        <f t="shared" si="5"/>
        <v>10201505.809999993</v>
      </c>
      <c r="N11" s="197">
        <v>43647</v>
      </c>
      <c r="O11" s="16">
        <f t="shared" si="6"/>
        <v>46204</v>
      </c>
      <c r="P11" s="13">
        <f ca="1">ROUND(C11-(VLOOKUP(A11,INDIRECT('LOCCS Import'!$E$3&amp;"$A$3"):INDIRECT('LOCCS Import'!$E$3&amp;"$O$54"),3,)),2)</f>
        <v>5251976.8</v>
      </c>
      <c r="Q11" s="242" t="e">
        <f>#VALUE!</f>
        <v>#VALUE!</v>
      </c>
    </row>
    <row r="12" spans="1:17" x14ac:dyDescent="0.2">
      <c r="A12" s="4" t="s">
        <v>24</v>
      </c>
      <c r="B12" s="13">
        <f>VLOOKUP(A12,'LOCCS Import'!A$19:N$200,2,)</f>
        <v>1681086495.6500001</v>
      </c>
      <c r="C12" s="13">
        <f>VLOOKUP(A12,'LOCCS Import'!A$19:N$200,3,)</f>
        <v>1567794626.6099999</v>
      </c>
      <c r="D12" s="13">
        <f t="shared" si="0"/>
        <v>113291869.0400002</v>
      </c>
      <c r="E12" s="13">
        <f>VLOOKUP(A12,'LOCCS Import'!A$19:N$200,4,)</f>
        <v>24203654.780000001</v>
      </c>
      <c r="F12" s="13">
        <f>VLOOKUP(A12,'LOCCS Import'!A$19:N$200,5,)</f>
        <v>40945091</v>
      </c>
      <c r="G12" s="14">
        <f>VLOOKUP(A12,'LOCCS Import'!A$19:N$200,6,)</f>
        <v>2.77</v>
      </c>
      <c r="H12" s="14">
        <f>VLOOKUP(A12,'LOCCS Import'!A$19:N$200,7,)</f>
        <v>0.59</v>
      </c>
      <c r="I12" s="13">
        <f t="shared" si="1"/>
        <v>2016971.2316666667</v>
      </c>
      <c r="J12" s="15">
        <f t="shared" si="2"/>
        <v>7</v>
      </c>
      <c r="K12" s="13">
        <f t="shared" si="3"/>
        <v>99173070.41833353</v>
      </c>
      <c r="L12" s="13">
        <f t="shared" si="4"/>
        <v>4485955.2914286004</v>
      </c>
      <c r="M12" s="13" t="str">
        <f t="shared" si="5"/>
        <v>on track</v>
      </c>
      <c r="N12" s="197">
        <v>43647</v>
      </c>
      <c r="O12" s="16">
        <f t="shared" si="6"/>
        <v>46204</v>
      </c>
      <c r="P12" s="13">
        <f ca="1">ROUND(C12-(VLOOKUP(A12,INDIRECT('LOCCS Import'!$E$3&amp;"$A$3"):INDIRECT('LOCCS Import'!$E$3&amp;"$O$54"),3,)),2)</f>
        <v>1525894.79</v>
      </c>
      <c r="Q12" s="242" t="e">
        <f>#VALUE!</f>
        <v>#VALUE!</v>
      </c>
    </row>
    <row r="13" spans="1:17" x14ac:dyDescent="0.2">
      <c r="A13" s="4" t="s">
        <v>25</v>
      </c>
      <c r="B13" s="13">
        <f>VLOOKUP(A13,'LOCCS Import'!A$19:N$200,2,)</f>
        <v>360320461.25</v>
      </c>
      <c r="C13" s="13">
        <f>VLOOKUP(A13,'LOCCS Import'!A$19:N$200,3,)</f>
        <v>335284395.08999997</v>
      </c>
      <c r="D13" s="13">
        <f t="shared" si="0"/>
        <v>25036066.160000026</v>
      </c>
      <c r="E13" s="13">
        <f>VLOOKUP(A13,'LOCCS Import'!A$19:N$200,4,)</f>
        <v>9130150.6300000008</v>
      </c>
      <c r="F13" s="13">
        <f>VLOOKUP(A13,'LOCCS Import'!A$19:N$200,5,)</f>
        <v>8777275</v>
      </c>
      <c r="G13" s="14">
        <f>VLOOKUP(A13,'LOCCS Import'!A$19:N$200,6,)</f>
        <v>2.85</v>
      </c>
      <c r="H13" s="14">
        <f>VLOOKUP(A13,'LOCCS Import'!A$19:N$200,7,)</f>
        <v>1.04</v>
      </c>
      <c r="I13" s="13">
        <f t="shared" si="1"/>
        <v>760845.88583333336</v>
      </c>
      <c r="J13" s="15">
        <f t="shared" si="2"/>
        <v>4</v>
      </c>
      <c r="K13" s="13">
        <f t="shared" si="3"/>
        <v>21992682.616666693</v>
      </c>
      <c r="L13" s="13">
        <f t="shared" si="4"/>
        <v>1870379.0400000066</v>
      </c>
      <c r="M13" s="13">
        <f t="shared" si="5"/>
        <v>773219.66500000656</v>
      </c>
      <c r="N13" s="197">
        <v>43556</v>
      </c>
      <c r="O13" s="16">
        <f t="shared" si="6"/>
        <v>46113</v>
      </c>
      <c r="P13" s="13">
        <f ca="1">ROUND(C13-(VLOOKUP(A13,INDIRECT('LOCCS Import'!$E$3&amp;"$A$3"):INDIRECT('LOCCS Import'!$E$3&amp;"$O$54"),3,)),2)</f>
        <v>1925511.14</v>
      </c>
      <c r="Q13" s="242" t="e">
        <f>#VALUE!</f>
        <v>#VALUE!</v>
      </c>
    </row>
    <row r="14" spans="1:17" x14ac:dyDescent="0.2">
      <c r="A14" s="4" t="s">
        <v>26</v>
      </c>
      <c r="B14" s="13">
        <f>VLOOKUP(A14,'LOCCS Import'!A$19:N$200,2,)</f>
        <v>1365257298.0599999</v>
      </c>
      <c r="C14" s="13">
        <f>VLOOKUP(A14,'LOCCS Import'!A$19:N$200,3,)</f>
        <v>1267823807.2</v>
      </c>
      <c r="D14" s="13">
        <f t="shared" si="0"/>
        <v>97433490.859999895</v>
      </c>
      <c r="E14" s="13">
        <f>VLOOKUP(A14,'LOCCS Import'!A$19:N$200,4,)</f>
        <v>49463092.869999997</v>
      </c>
      <c r="F14" s="13">
        <f>VLOOKUP(A14,'LOCCS Import'!A$19:N$200,5,)</f>
        <v>28988172</v>
      </c>
      <c r="G14" s="14">
        <f>VLOOKUP(A14,'LOCCS Import'!A$19:N$200,6,)</f>
        <v>3.36</v>
      </c>
      <c r="H14" s="14">
        <f>VLOOKUP(A14,'LOCCS Import'!A$19:N$200,7,)</f>
        <v>1.71</v>
      </c>
      <c r="I14" s="13">
        <f t="shared" si="1"/>
        <v>4121924.4058333333</v>
      </c>
      <c r="J14" s="15">
        <f t="shared" si="2"/>
        <v>1</v>
      </c>
      <c r="K14" s="13">
        <f t="shared" si="3"/>
        <v>93311566.454166561</v>
      </c>
      <c r="L14" s="13">
        <f t="shared" si="4"/>
        <v>39457146.859999895</v>
      </c>
      <c r="M14" s="13">
        <f t="shared" si="5"/>
        <v>24963060.859999895</v>
      </c>
      <c r="N14" s="197">
        <v>43831</v>
      </c>
      <c r="O14" s="16">
        <f t="shared" si="6"/>
        <v>46023</v>
      </c>
      <c r="P14" s="13">
        <f ca="1">ROUND(C14-(VLOOKUP(A14,INDIRECT('LOCCS Import'!$E$3&amp;"$A$3"):INDIRECT('LOCCS Import'!$E$3&amp;"$O$54"),3,)),2)</f>
        <v>2468891.29</v>
      </c>
      <c r="Q14" s="242" t="e">
        <f>#VALUE!</f>
        <v>#VALUE!</v>
      </c>
    </row>
    <row r="15" spans="1:17" x14ac:dyDescent="0.2">
      <c r="A15" s="4" t="s">
        <v>27</v>
      </c>
      <c r="B15" s="13">
        <f>VLOOKUP(A15,'LOCCS Import'!A$19:N$200,2,)</f>
        <v>1371291427.5599999</v>
      </c>
      <c r="C15" s="13">
        <f>VLOOKUP(A15,'LOCCS Import'!A$19:N$200,3,)</f>
        <v>1276896636.26</v>
      </c>
      <c r="D15" s="13">
        <f t="shared" si="0"/>
        <v>94394791.299999952</v>
      </c>
      <c r="E15" s="13">
        <f>VLOOKUP(A15,'LOCCS Import'!A$19:N$200,4,)</f>
        <v>27622714.969999999</v>
      </c>
      <c r="F15" s="13">
        <f>VLOOKUP(A15,'LOCCS Import'!A$19:N$200,5,)</f>
        <v>30863204</v>
      </c>
      <c r="G15" s="14">
        <f>VLOOKUP(A15,'LOCCS Import'!A$19:N$200,6,)</f>
        <v>3.06</v>
      </c>
      <c r="H15" s="14">
        <f>VLOOKUP(A15,'LOCCS Import'!A$19:N$200,7,)</f>
        <v>0.9</v>
      </c>
      <c r="I15" s="13">
        <f t="shared" si="1"/>
        <v>2301892.9141666666</v>
      </c>
      <c r="J15" s="15">
        <f t="shared" si="2"/>
        <v>7</v>
      </c>
      <c r="K15" s="13">
        <f t="shared" si="3"/>
        <v>78281540.900833279</v>
      </c>
      <c r="L15" s="13">
        <f t="shared" si="4"/>
        <v>4666911.8999999929</v>
      </c>
      <c r="M15" s="13">
        <f t="shared" si="5"/>
        <v>2462397.3285714216</v>
      </c>
      <c r="N15" s="197">
        <v>43647</v>
      </c>
      <c r="O15" s="16">
        <f t="shared" si="6"/>
        <v>46204</v>
      </c>
      <c r="P15" s="13">
        <f ca="1">ROUND(C15-(VLOOKUP(A15,INDIRECT('LOCCS Import'!$E$3&amp;"$A$3"):INDIRECT('LOCCS Import'!$E$3&amp;"$O$54"),3,)),2)</f>
        <v>5365189.93</v>
      </c>
      <c r="Q15" s="242" t="e">
        <f>#VALUE!</f>
        <v>#VALUE!</v>
      </c>
    </row>
    <row r="16" spans="1:17" x14ac:dyDescent="0.2">
      <c r="A16" s="4" t="s">
        <v>28</v>
      </c>
      <c r="B16" s="13">
        <f>VLOOKUP(A16,'LOCCS Import'!A$19:N$200,2,)</f>
        <v>1108164533</v>
      </c>
      <c r="C16" s="13">
        <f>VLOOKUP(A16,'LOCCS Import'!A$19:N$200,3,)</f>
        <v>1014337608.25</v>
      </c>
      <c r="D16" s="13">
        <f t="shared" si="0"/>
        <v>93826924.75</v>
      </c>
      <c r="E16" s="13">
        <f>VLOOKUP(A16,'LOCCS Import'!A$19:N$200,4,)</f>
        <v>17580265.059999999</v>
      </c>
      <c r="F16" s="13">
        <f>VLOOKUP(A16,'LOCCS Import'!A$19:N$200,5,)</f>
        <v>24223580</v>
      </c>
      <c r="G16" s="14">
        <f>VLOOKUP(A16,'LOCCS Import'!A$19:N$200,6,)</f>
        <v>3.87</v>
      </c>
      <c r="H16" s="14">
        <f>VLOOKUP(A16,'LOCCS Import'!A$19:N$200,7,)</f>
        <v>0.73</v>
      </c>
      <c r="I16" s="13">
        <f t="shared" si="1"/>
        <v>1465022.0883333331</v>
      </c>
      <c r="J16" s="15">
        <f t="shared" si="2"/>
        <v>1</v>
      </c>
      <c r="K16" s="13">
        <f t="shared" si="3"/>
        <v>92361902.661666662</v>
      </c>
      <c r="L16" s="13">
        <f t="shared" si="4"/>
        <v>45379764.75</v>
      </c>
      <c r="M16" s="13">
        <f t="shared" si="5"/>
        <v>33267974.75</v>
      </c>
      <c r="N16" s="197">
        <v>43831</v>
      </c>
      <c r="O16" s="16">
        <f t="shared" si="6"/>
        <v>46023</v>
      </c>
      <c r="P16" s="13">
        <f ca="1">ROUND(C16-(VLOOKUP(A16,INDIRECT('LOCCS Import'!$E$3&amp;"$A$3"):INDIRECT('LOCCS Import'!$E$3&amp;"$O$54"),3,)),2)</f>
        <v>1739077</v>
      </c>
      <c r="Q16" s="242" t="e">
        <f>#VALUE!</f>
        <v>#VALUE!</v>
      </c>
    </row>
    <row r="17" spans="1:17" x14ac:dyDescent="0.2">
      <c r="A17" s="4" t="s">
        <v>29</v>
      </c>
      <c r="B17" s="13">
        <f>VLOOKUP(A17,'LOCCS Import'!A$19:N$200,2,)</f>
        <v>704892478</v>
      </c>
      <c r="C17" s="13">
        <f>VLOOKUP(A17,'LOCCS Import'!A$19:N$200,3,)</f>
        <v>648672705.85000002</v>
      </c>
      <c r="D17" s="13">
        <f t="shared" si="0"/>
        <v>56219772.149999976</v>
      </c>
      <c r="E17" s="13">
        <f>VLOOKUP(A17,'LOCCS Import'!A$19:N$200,4,)</f>
        <v>8167750.1900000004</v>
      </c>
      <c r="F17" s="13">
        <f>VLOOKUP(A17,'LOCCS Import'!A$19:N$200,5,)</f>
        <v>14946818</v>
      </c>
      <c r="G17" s="14">
        <f>VLOOKUP(A17,'LOCCS Import'!A$19:N$200,6,)</f>
        <v>3.76</v>
      </c>
      <c r="H17" s="14">
        <f>VLOOKUP(A17,'LOCCS Import'!A$19:N$200,7,)</f>
        <v>0.55000000000000004</v>
      </c>
      <c r="I17" s="13">
        <f t="shared" si="1"/>
        <v>680645.84916666674</v>
      </c>
      <c r="J17" s="15">
        <f t="shared" si="2"/>
        <v>1</v>
      </c>
      <c r="K17" s="13">
        <f t="shared" si="3"/>
        <v>55539126.300833307</v>
      </c>
      <c r="L17" s="13">
        <f t="shared" si="4"/>
        <v>26326136.149999976</v>
      </c>
      <c r="M17" s="13">
        <f t="shared" si="5"/>
        <v>18852727.149999976</v>
      </c>
      <c r="N17" s="197">
        <v>43466</v>
      </c>
      <c r="O17" s="16">
        <f t="shared" si="6"/>
        <v>46023</v>
      </c>
      <c r="P17" s="13">
        <f ca="1">ROUND(C17-(VLOOKUP(A17,INDIRECT('LOCCS Import'!$E$3&amp;"$A$3"):INDIRECT('LOCCS Import'!$E$3&amp;"$O$54"),3,)),2)</f>
        <v>2165920.08</v>
      </c>
      <c r="Q17" s="242" t="e">
        <f>#VALUE!</f>
        <v>#VALUE!</v>
      </c>
    </row>
    <row r="18" spans="1:17" x14ac:dyDescent="0.2">
      <c r="A18" s="4" t="s">
        <v>30</v>
      </c>
      <c r="B18" s="13">
        <f>VLOOKUP(A18,'LOCCS Import'!A$19:N$200,2,)</f>
        <v>1194714205.73</v>
      </c>
      <c r="C18" s="13">
        <f>VLOOKUP(A18,'LOCCS Import'!A$19:N$200,3,)</f>
        <v>1094915265</v>
      </c>
      <c r="D18" s="13">
        <f t="shared" si="0"/>
        <v>99798940.730000019</v>
      </c>
      <c r="E18" s="13">
        <f>VLOOKUP(A18,'LOCCS Import'!A$19:N$200,4,)</f>
        <v>19969720.890000001</v>
      </c>
      <c r="F18" s="13">
        <f>VLOOKUP(A18,'LOCCS Import'!A$19:N$200,5,)</f>
        <v>26571929</v>
      </c>
      <c r="G18" s="14">
        <f>VLOOKUP(A18,'LOCCS Import'!A$19:N$200,6,)</f>
        <v>3.76</v>
      </c>
      <c r="H18" s="14">
        <f>VLOOKUP(A18,'LOCCS Import'!A$19:N$200,7,)</f>
        <v>0.75</v>
      </c>
      <c r="I18" s="13">
        <f t="shared" si="1"/>
        <v>1664143.4075</v>
      </c>
      <c r="J18" s="15">
        <f t="shared" si="2"/>
        <v>7</v>
      </c>
      <c r="K18" s="13">
        <f t="shared" si="3"/>
        <v>88149936.877500027</v>
      </c>
      <c r="L18" s="13">
        <f t="shared" si="4"/>
        <v>6665011.8185714316</v>
      </c>
      <c r="M18" s="13">
        <f t="shared" si="5"/>
        <v>4767016.8900000025</v>
      </c>
      <c r="N18" s="197">
        <v>43647</v>
      </c>
      <c r="O18" s="16">
        <f t="shared" si="6"/>
        <v>46204</v>
      </c>
      <c r="P18" s="13">
        <f ca="1">ROUND(C18-(VLOOKUP(A18,INDIRECT('LOCCS Import'!$E$3&amp;"$A$3"):INDIRECT('LOCCS Import'!$E$3&amp;"$O$54"),3,)),2)</f>
        <v>1367660.6</v>
      </c>
      <c r="Q18" s="242" t="e">
        <f>#VALUE!</f>
        <v>#VALUE!</v>
      </c>
    </row>
    <row r="19" spans="1:17" x14ac:dyDescent="0.2">
      <c r="A19" s="4" t="s">
        <v>31</v>
      </c>
      <c r="B19" s="13">
        <f>VLOOKUP(A19,'LOCCS Import'!A$19:N$200,2,)</f>
        <v>1227877221</v>
      </c>
      <c r="C19" s="13">
        <f>VLOOKUP(A19,'LOCCS Import'!A$19:N$200,3,)</f>
        <v>1181757764.4100001</v>
      </c>
      <c r="D19" s="13">
        <f t="shared" si="0"/>
        <v>46119456.589999914</v>
      </c>
      <c r="E19" s="13">
        <f>VLOOKUP(A19,'LOCCS Import'!A$19:N$200,4,)</f>
        <v>20706400.870000001</v>
      </c>
      <c r="F19" s="13">
        <f>VLOOKUP(A19,'LOCCS Import'!A$19:N$200,5,)</f>
        <v>22761731</v>
      </c>
      <c r="G19" s="14">
        <f>VLOOKUP(A19,'LOCCS Import'!A$19:N$200,6,)</f>
        <v>2.0299999999999998</v>
      </c>
      <c r="H19" s="14">
        <f>VLOOKUP(A19,'LOCCS Import'!A$19:N$200,7,)</f>
        <v>0.91</v>
      </c>
      <c r="I19" s="13">
        <f t="shared" si="1"/>
        <v>1725533.4058333335</v>
      </c>
      <c r="J19" s="15">
        <f t="shared" si="2"/>
        <v>4</v>
      </c>
      <c r="K19" s="13">
        <f t="shared" si="3"/>
        <v>39217322.966666579</v>
      </c>
      <c r="L19" s="13" t="str">
        <f t="shared" si="4"/>
        <v>on track</v>
      </c>
      <c r="M19" s="13" t="str">
        <f t="shared" si="5"/>
        <v>on track</v>
      </c>
      <c r="N19" s="197">
        <v>43922</v>
      </c>
      <c r="O19" s="16">
        <f t="shared" si="6"/>
        <v>46113</v>
      </c>
      <c r="P19" s="13">
        <f ca="1">ROUND(C19-(VLOOKUP(A19,INDIRECT('LOCCS Import'!$E$3&amp;"$A$3"):INDIRECT('LOCCS Import'!$E$3&amp;"$O$54"),3,)),2)</f>
        <v>2100099.98</v>
      </c>
      <c r="Q19" s="242" t="e">
        <f>#VALUE!</f>
        <v>#VALUE!</v>
      </c>
    </row>
    <row r="20" spans="1:17" x14ac:dyDescent="0.2">
      <c r="A20" s="4" t="s">
        <v>32</v>
      </c>
      <c r="B20" s="13">
        <f>VLOOKUP(A20,'LOCCS Import'!A$19:N$200,2,)</f>
        <v>521018910</v>
      </c>
      <c r="C20" s="13">
        <f>VLOOKUP(A20,'LOCCS Import'!A$19:N$200,3,)</f>
        <v>490864589.75</v>
      </c>
      <c r="D20" s="13">
        <f t="shared" si="0"/>
        <v>30154320.25</v>
      </c>
      <c r="E20" s="13">
        <f>VLOOKUP(A20,'LOCCS Import'!A$19:N$200,4,)</f>
        <v>9183569.1600000001</v>
      </c>
      <c r="F20" s="13">
        <f>VLOOKUP(A20,'LOCCS Import'!A$19:N$200,5,)</f>
        <v>11904978</v>
      </c>
      <c r="G20" s="14">
        <f>VLOOKUP(A20,'LOCCS Import'!A$19:N$200,6,)</f>
        <v>2.5299999999999998</v>
      </c>
      <c r="H20" s="14">
        <f>VLOOKUP(A20,'LOCCS Import'!A$19:N$200,7,)</f>
        <v>0.77</v>
      </c>
      <c r="I20" s="13">
        <f t="shared" si="1"/>
        <v>765297.43</v>
      </c>
      <c r="J20" s="15">
        <f t="shared" si="2"/>
        <v>1</v>
      </c>
      <c r="K20" s="13">
        <f t="shared" si="3"/>
        <v>29389022.82</v>
      </c>
      <c r="L20" s="13">
        <f t="shared" si="4"/>
        <v>6344364.25</v>
      </c>
      <c r="M20" s="13" t="str">
        <f t="shared" si="5"/>
        <v>on track</v>
      </c>
      <c r="N20" s="197">
        <v>43831</v>
      </c>
      <c r="O20" s="16">
        <f t="shared" si="6"/>
        <v>46023</v>
      </c>
      <c r="P20" s="13">
        <f ca="1">ROUND(C20-(VLOOKUP(A20,INDIRECT('LOCCS Import'!$E$3&amp;"$A$3"):INDIRECT('LOCCS Import'!$E$3&amp;"$O$54"),3,)),2)</f>
        <v>623492.27</v>
      </c>
      <c r="Q20" s="242" t="e">
        <f>#VALUE!</f>
        <v>#VALUE!</v>
      </c>
    </row>
    <row r="21" spans="1:17" x14ac:dyDescent="0.2">
      <c r="A21" s="4" t="s">
        <v>33</v>
      </c>
      <c r="B21" s="13">
        <f>VLOOKUP(A21,'LOCCS Import'!A$19:N$200,2,)</f>
        <v>329225451.43000001</v>
      </c>
      <c r="C21" s="13">
        <f>VLOOKUP(A21,'LOCCS Import'!A$19:N$200,3,)</f>
        <v>303692837.32999998</v>
      </c>
      <c r="D21" s="13">
        <f t="shared" si="0"/>
        <v>25532614.100000024</v>
      </c>
      <c r="E21" s="13">
        <f>VLOOKUP(A21,'LOCCS Import'!A$19:N$200,4,)</f>
        <v>9599941.0700000003</v>
      </c>
      <c r="F21" s="13">
        <f>VLOOKUP(A21,'LOCCS Import'!A$19:N$200,5,)</f>
        <v>7367342</v>
      </c>
      <c r="G21" s="14">
        <f>VLOOKUP(A21,'LOCCS Import'!A$19:N$200,6,)</f>
        <v>3.47</v>
      </c>
      <c r="H21" s="14">
        <f>VLOOKUP(A21,'LOCCS Import'!A$19:N$200,7,)</f>
        <v>1.3</v>
      </c>
      <c r="I21" s="13">
        <f t="shared" si="1"/>
        <v>799995.08916666673</v>
      </c>
      <c r="J21" s="15">
        <f t="shared" si="2"/>
        <v>7</v>
      </c>
      <c r="K21" s="13">
        <f t="shared" si="3"/>
        <v>19932648.475833356</v>
      </c>
      <c r="L21" s="13">
        <f t="shared" si="4"/>
        <v>1542561.4428571463</v>
      </c>
      <c r="M21" s="13">
        <f t="shared" si="5"/>
        <v>1016322.7285714319</v>
      </c>
      <c r="N21" s="197">
        <v>43647</v>
      </c>
      <c r="O21" s="16">
        <f t="shared" si="6"/>
        <v>46204</v>
      </c>
      <c r="P21" s="13">
        <f ca="1">ROUND(C21-(VLOOKUP(A21,INDIRECT('LOCCS Import'!$E$3&amp;"$A$3"):INDIRECT('LOCCS Import'!$E$3&amp;"$O$54"),3,)),2)</f>
        <v>1757216.42</v>
      </c>
      <c r="Q21" s="242" t="e">
        <f>#VALUE!</f>
        <v>#VALUE!</v>
      </c>
    </row>
    <row r="22" spans="1:17" x14ac:dyDescent="0.2">
      <c r="A22" s="4" t="s">
        <v>34</v>
      </c>
      <c r="B22" s="13">
        <f>VLOOKUP(A22,'LOCCS Import'!A$19:N$200,2,)</f>
        <v>1463439983.99</v>
      </c>
      <c r="C22" s="13">
        <f>VLOOKUP(A22,'LOCCS Import'!A$19:N$200,3,)</f>
        <v>1378522346.95</v>
      </c>
      <c r="D22" s="13">
        <f t="shared" si="0"/>
        <v>84917637.039999962</v>
      </c>
      <c r="E22" s="13">
        <f>VLOOKUP(A22,'LOCCS Import'!A$19:N$200,4,)</f>
        <v>43451053.030000001</v>
      </c>
      <c r="F22" s="13">
        <f>VLOOKUP(A22,'LOCCS Import'!A$19:N$200,5,)</f>
        <v>34632226</v>
      </c>
      <c r="G22" s="14">
        <f>VLOOKUP(A22,'LOCCS Import'!A$19:N$200,6,)</f>
        <v>2.4500000000000002</v>
      </c>
      <c r="H22" s="14">
        <f>VLOOKUP(A22,'LOCCS Import'!A$19:N$200,7,)</f>
        <v>1.25</v>
      </c>
      <c r="I22" s="13">
        <f t="shared" si="1"/>
        <v>3620921.0858333334</v>
      </c>
      <c r="J22" s="15">
        <f t="shared" si="2"/>
        <v>4</v>
      </c>
      <c r="K22" s="13">
        <f t="shared" si="3"/>
        <v>70433952.696666628</v>
      </c>
      <c r="L22" s="13">
        <f t="shared" si="4"/>
        <v>3913296.2599999905</v>
      </c>
      <c r="M22" s="13" t="str">
        <f t="shared" si="5"/>
        <v>on track</v>
      </c>
      <c r="N22" s="197">
        <v>43922</v>
      </c>
      <c r="O22" s="16">
        <f t="shared" si="6"/>
        <v>46113</v>
      </c>
      <c r="P22" s="13">
        <f ca="1">ROUND(C22-(VLOOKUP(A22,INDIRECT('LOCCS Import'!$E$3&amp;"$A$3"):INDIRECT('LOCCS Import'!$E$3&amp;"$O$54"),3,)),2)</f>
        <v>3921804.59</v>
      </c>
      <c r="Q22" s="242" t="e">
        <f>#VALUE!</f>
        <v>#VALUE!</v>
      </c>
    </row>
    <row r="23" spans="1:17" x14ac:dyDescent="0.2">
      <c r="A23" s="4" t="s">
        <v>35</v>
      </c>
      <c r="B23" s="13">
        <f>VLOOKUP(A23,'LOCCS Import'!A$19:N$200,2,)</f>
        <v>1537281221.97</v>
      </c>
      <c r="C23" s="13">
        <f>VLOOKUP(A23,'LOCCS Import'!A$19:N$200,3,)</f>
        <v>1351620188.8599999</v>
      </c>
      <c r="D23" s="13">
        <f t="shared" si="0"/>
        <v>185661033.11000013</v>
      </c>
      <c r="E23" s="13">
        <f>VLOOKUP(A23,'LOCCS Import'!A$19:N$200,4,)</f>
        <v>42886925.420000002</v>
      </c>
      <c r="F23" s="13">
        <f>VLOOKUP(A23,'LOCCS Import'!A$19:N$200,5,)</f>
        <v>33947877</v>
      </c>
      <c r="G23" s="14">
        <f>VLOOKUP(A23,'LOCCS Import'!A$19:N$200,6,)</f>
        <v>5.47</v>
      </c>
      <c r="H23" s="14">
        <f>VLOOKUP(A23,'LOCCS Import'!A$19:N$200,7,)</f>
        <v>1.26</v>
      </c>
      <c r="I23" s="13">
        <f t="shared" si="1"/>
        <v>3573910.4516666667</v>
      </c>
      <c r="J23" s="15">
        <f t="shared" si="2"/>
        <v>7</v>
      </c>
      <c r="K23" s="13">
        <f t="shared" si="3"/>
        <v>160643659.94833347</v>
      </c>
      <c r="L23" s="13">
        <f t="shared" si="4"/>
        <v>16823611.30142859</v>
      </c>
      <c r="M23" s="13">
        <f t="shared" si="5"/>
        <v>14398762.944285734</v>
      </c>
      <c r="N23" s="197">
        <v>43647</v>
      </c>
      <c r="O23" s="16">
        <f t="shared" si="6"/>
        <v>46204</v>
      </c>
      <c r="P23" s="13">
        <f ca="1">ROUND(C23-(VLOOKUP(A23,INDIRECT('LOCCS Import'!$E$3&amp;"$A$3"):INDIRECT('LOCCS Import'!$E$3&amp;"$O$54"),3,)),2)</f>
        <v>2281245.5299999998</v>
      </c>
      <c r="Q23" s="242" t="e">
        <f>#VALUE!</f>
        <v>#VALUE!</v>
      </c>
    </row>
    <row r="24" spans="1:17" x14ac:dyDescent="0.2">
      <c r="A24" s="4" t="s">
        <v>36</v>
      </c>
      <c r="B24" s="13">
        <f>VLOOKUP(A24,'LOCCS Import'!A$19:N$200,2,)</f>
        <v>872347192</v>
      </c>
      <c r="C24" s="13">
        <f>VLOOKUP(A24,'LOCCS Import'!A$19:N$200,3,)</f>
        <v>799355256.88</v>
      </c>
      <c r="D24" s="13">
        <f t="shared" si="0"/>
        <v>72991935.120000005</v>
      </c>
      <c r="E24" s="13">
        <f>VLOOKUP(A24,'LOCCS Import'!A$19:N$200,4,)</f>
        <v>16168680.5</v>
      </c>
      <c r="F24" s="13">
        <f>VLOOKUP(A24,'LOCCS Import'!A$19:N$200,5,)</f>
        <v>19090913</v>
      </c>
      <c r="G24" s="14">
        <f>VLOOKUP(A24,'LOCCS Import'!A$19:N$200,6,)</f>
        <v>3.82</v>
      </c>
      <c r="H24" s="14">
        <f>VLOOKUP(A24,'LOCCS Import'!A$19:N$200,7,)</f>
        <v>0.85</v>
      </c>
      <c r="I24" s="13">
        <f t="shared" si="1"/>
        <v>1347390.0416666667</v>
      </c>
      <c r="J24" s="15">
        <f t="shared" si="2"/>
        <v>0</v>
      </c>
      <c r="K24" s="13">
        <f t="shared" si="3"/>
        <v>72991935.120000005</v>
      </c>
      <c r="L24" s="13" t="str">
        <f t="shared" si="4"/>
        <v>NA</v>
      </c>
      <c r="M24" s="13" t="str">
        <f t="shared" si="5"/>
        <v>NA</v>
      </c>
      <c r="N24" s="197">
        <v>43739</v>
      </c>
      <c r="O24" s="16">
        <f t="shared" si="6"/>
        <v>45931</v>
      </c>
      <c r="P24" s="13">
        <f ca="1">ROUND(C24-(VLOOKUP(A24,INDIRECT('LOCCS Import'!$E$3&amp;"$A$3"):INDIRECT('LOCCS Import'!$E$3&amp;"$O$54"),3,)),2)</f>
        <v>501402.64</v>
      </c>
      <c r="Q24" s="242" t="e">
        <f>#VALUE!</f>
        <v>#VALUE!</v>
      </c>
    </row>
    <row r="25" spans="1:17" x14ac:dyDescent="0.2">
      <c r="A25" s="4" t="s">
        <v>37</v>
      </c>
      <c r="B25" s="13">
        <f>VLOOKUP(A25,'LOCCS Import'!A$19:N$200,2,)</f>
        <v>1263141065.8299999</v>
      </c>
      <c r="C25" s="13">
        <f>VLOOKUP(A25,'LOCCS Import'!A$19:N$200,3,)</f>
        <v>1201585816.24</v>
      </c>
      <c r="D25" s="13">
        <f t="shared" si="0"/>
        <v>61555249.589999914</v>
      </c>
      <c r="E25" s="13">
        <f>VLOOKUP(A25,'LOCCS Import'!A$19:N$200,4,)</f>
        <v>23714189.77</v>
      </c>
      <c r="F25" s="13">
        <f>VLOOKUP(A25,'LOCCS Import'!A$19:N$200,5,)</f>
        <v>23759923</v>
      </c>
      <c r="G25" s="14">
        <f>VLOOKUP(A25,'LOCCS Import'!A$19:N$200,6,)</f>
        <v>2.59</v>
      </c>
      <c r="H25" s="14">
        <f>VLOOKUP(A25,'LOCCS Import'!A$19:N$200,7,)</f>
        <v>1</v>
      </c>
      <c r="I25" s="13">
        <f t="shared" si="1"/>
        <v>1976182.4808333332</v>
      </c>
      <c r="J25" s="15">
        <f t="shared" si="2"/>
        <v>7</v>
      </c>
      <c r="K25" s="13">
        <f t="shared" si="3"/>
        <v>47721972.22416658</v>
      </c>
      <c r="L25" s="13">
        <f t="shared" si="4"/>
        <v>2005057.6557142735</v>
      </c>
      <c r="M25" s="13" t="str">
        <f t="shared" si="5"/>
        <v>on track</v>
      </c>
      <c r="N25" s="197">
        <v>43647</v>
      </c>
      <c r="O25" s="16">
        <f t="shared" si="6"/>
        <v>46204</v>
      </c>
      <c r="P25" s="13">
        <f ca="1">ROUND(C25-(VLOOKUP(A25,INDIRECT('LOCCS Import'!$E$3&amp;"$A$3"):INDIRECT('LOCCS Import'!$E$3&amp;"$O$54"),3,)),2)</f>
        <v>2825184.13</v>
      </c>
      <c r="Q25" s="242" t="e">
        <f>#VALUE!</f>
        <v>#VALUE!</v>
      </c>
    </row>
    <row r="26" spans="1:17" x14ac:dyDescent="0.2">
      <c r="A26" s="4" t="s">
        <v>38</v>
      </c>
      <c r="B26" s="13">
        <f>VLOOKUP(A26,'LOCCS Import'!A$19:N$200,2,)</f>
        <v>1055669610</v>
      </c>
      <c r="C26" s="13">
        <f>VLOOKUP(A26,'LOCCS Import'!A$19:N$200,3,)</f>
        <v>967317851.00999999</v>
      </c>
      <c r="D26" s="13">
        <f t="shared" si="0"/>
        <v>88351758.99000001</v>
      </c>
      <c r="E26" s="13">
        <f>VLOOKUP(A26,'LOCCS Import'!A$19:N$200,4,)</f>
        <v>24929615.609999999</v>
      </c>
      <c r="F26" s="13">
        <f>VLOOKUP(A26,'LOCCS Import'!A$19:N$200,5,)</f>
        <v>22482478</v>
      </c>
      <c r="G26" s="14">
        <f>VLOOKUP(A26,'LOCCS Import'!A$19:N$200,6,)</f>
        <v>3.93</v>
      </c>
      <c r="H26" s="14">
        <f>VLOOKUP(A26,'LOCCS Import'!A$19:N$200,7,)</f>
        <v>1.1100000000000001</v>
      </c>
      <c r="I26" s="13">
        <f t="shared" si="1"/>
        <v>2077467.9675</v>
      </c>
      <c r="J26" s="15">
        <f t="shared" si="2"/>
        <v>4</v>
      </c>
      <c r="K26" s="13">
        <f t="shared" si="3"/>
        <v>80041887.120000005</v>
      </c>
      <c r="L26" s="13">
        <f t="shared" si="4"/>
        <v>10846700.747500002</v>
      </c>
      <c r="M26" s="13">
        <f t="shared" si="5"/>
        <v>8036390.9975000024</v>
      </c>
      <c r="N26" s="197">
        <v>43922</v>
      </c>
      <c r="O26" s="16">
        <f t="shared" si="6"/>
        <v>46113</v>
      </c>
      <c r="P26" s="13">
        <f ca="1">ROUND(C26-(VLOOKUP(A26,INDIRECT('LOCCS Import'!$E$3&amp;"$A$3"):INDIRECT('LOCCS Import'!$E$3&amp;"$O$54"),3,)),2)</f>
        <v>1917712.78</v>
      </c>
      <c r="Q26" s="242" t="e">
        <f>#VALUE!</f>
        <v>#VALUE!</v>
      </c>
    </row>
    <row r="27" spans="1:17" x14ac:dyDescent="0.2">
      <c r="A27" s="4" t="s">
        <v>39</v>
      </c>
      <c r="B27" s="13">
        <f>VLOOKUP(A27,'LOCCS Import'!A$19:N$200,2,)</f>
        <v>277492827</v>
      </c>
      <c r="C27" s="13">
        <f>VLOOKUP(A27,'LOCCS Import'!A$19:N$200,3,)</f>
        <v>251098469.06999999</v>
      </c>
      <c r="D27" s="13">
        <f t="shared" si="0"/>
        <v>26394357.930000007</v>
      </c>
      <c r="E27" s="13">
        <f>VLOOKUP(A27,'LOCCS Import'!A$19:N$200,4,)</f>
        <v>7340976.8200000003</v>
      </c>
      <c r="F27" s="13">
        <f>VLOOKUP(A27,'LOCCS Import'!A$19:N$200,5,)</f>
        <v>6175487</v>
      </c>
      <c r="G27" s="14">
        <f>VLOOKUP(A27,'LOCCS Import'!A$19:N$200,6,)</f>
        <v>4.2699999999999996</v>
      </c>
      <c r="H27" s="14">
        <f>VLOOKUP(A27,'LOCCS Import'!A$19:N$200,7,)</f>
        <v>1.19</v>
      </c>
      <c r="I27" s="13">
        <f t="shared" si="1"/>
        <v>611748.06833333336</v>
      </c>
      <c r="J27" s="15">
        <f t="shared" si="2"/>
        <v>4</v>
      </c>
      <c r="K27" s="13">
        <f t="shared" si="3"/>
        <v>23947365.656666674</v>
      </c>
      <c r="L27" s="13">
        <f t="shared" si="4"/>
        <v>3510845.9825000018</v>
      </c>
      <c r="M27" s="13">
        <f t="shared" si="5"/>
        <v>2738910.1075000018</v>
      </c>
      <c r="N27" s="197">
        <v>43922</v>
      </c>
      <c r="O27" s="16">
        <f t="shared" si="6"/>
        <v>46113</v>
      </c>
      <c r="P27" s="13">
        <f ca="1">ROUND(C27-(VLOOKUP(A27,INDIRECT('LOCCS Import'!$E$3&amp;"$A$3"):INDIRECT('LOCCS Import'!$E$3&amp;"$O$54"),3,)),2)</f>
        <v>699979.93</v>
      </c>
      <c r="Q27" s="242" t="e">
        <f>#VALUE!</f>
        <v>#VALUE!</v>
      </c>
    </row>
    <row r="28" spans="1:17" x14ac:dyDescent="0.2">
      <c r="A28" s="4" t="s">
        <v>40</v>
      </c>
      <c r="B28" s="13">
        <f>VLOOKUP(A28,'LOCCS Import'!A$19:N$200,2,)</f>
        <v>521738422.91000003</v>
      </c>
      <c r="C28" s="13">
        <f>VLOOKUP(A28,'LOCCS Import'!A$19:N$200,3,)</f>
        <v>472519228.93000001</v>
      </c>
      <c r="D28" s="13">
        <f t="shared" si="0"/>
        <v>49219193.980000019</v>
      </c>
      <c r="E28" s="13">
        <f>VLOOKUP(A28,'LOCCS Import'!A$19:N$200,4,)</f>
        <v>8353978</v>
      </c>
      <c r="F28" s="13">
        <f>VLOOKUP(A28,'LOCCS Import'!A$19:N$200,5,)</f>
        <v>10575107</v>
      </c>
      <c r="G28" s="14">
        <f>VLOOKUP(A28,'LOCCS Import'!A$19:N$200,6,)</f>
        <v>4.6500000000000004</v>
      </c>
      <c r="H28" s="14">
        <f>VLOOKUP(A28,'LOCCS Import'!A$19:N$200,7,)</f>
        <v>0.79</v>
      </c>
      <c r="I28" s="13">
        <f t="shared" si="1"/>
        <v>696164.83333333337</v>
      </c>
      <c r="J28" s="15">
        <f t="shared" si="2"/>
        <v>7</v>
      </c>
      <c r="K28" s="13">
        <f t="shared" si="3"/>
        <v>44346040.146666683</v>
      </c>
      <c r="L28" s="13">
        <f t="shared" si="4"/>
        <v>4009854.2828571456</v>
      </c>
      <c r="M28" s="13">
        <f t="shared" si="5"/>
        <v>3254489.4971428597</v>
      </c>
      <c r="N28" s="197">
        <v>43647</v>
      </c>
      <c r="O28" s="16">
        <f t="shared" si="6"/>
        <v>46204</v>
      </c>
      <c r="P28" s="13">
        <f ca="1">ROUND(C28-(VLOOKUP(A28,INDIRECT('LOCCS Import'!$E$3&amp;"$A$3"):INDIRECT('LOCCS Import'!$E$3&amp;"$O$54"),3,)),2)</f>
        <v>1445277.37</v>
      </c>
      <c r="Q28" s="242" t="e">
        <f>#VALUE!</f>
        <v>#VALUE!</v>
      </c>
    </row>
    <row r="29" spans="1:17" x14ac:dyDescent="0.2">
      <c r="A29" s="4" t="s">
        <v>41</v>
      </c>
      <c r="B29" s="13">
        <f>VLOOKUP(A29,'LOCCS Import'!A$19:N$200,2,)</f>
        <v>104531217</v>
      </c>
      <c r="C29" s="13">
        <f>VLOOKUP(A29,'LOCCS Import'!A$19:N$200,3,)</f>
        <v>98125664.189999998</v>
      </c>
      <c r="D29" s="13">
        <f t="shared" si="0"/>
        <v>6405552.8100000024</v>
      </c>
      <c r="E29" s="13">
        <f>VLOOKUP(A29,'LOCCS Import'!A$19:N$200,4,)</f>
        <v>4952820.08</v>
      </c>
      <c r="F29" s="13">
        <f>VLOOKUP(A29,'LOCCS Import'!A$19:N$200,5,)</f>
        <v>2919374</v>
      </c>
      <c r="G29" s="14">
        <f>VLOOKUP(A29,'LOCCS Import'!A$19:N$200,6,)</f>
        <v>2.19</v>
      </c>
      <c r="H29" s="14">
        <f>VLOOKUP(A29,'LOCCS Import'!A$19:N$200,7,)</f>
        <v>1.7</v>
      </c>
      <c r="I29" s="13">
        <f t="shared" si="1"/>
        <v>412735.00666666665</v>
      </c>
      <c r="J29" s="15">
        <f t="shared" si="2"/>
        <v>7</v>
      </c>
      <c r="K29" s="13">
        <f t="shared" si="3"/>
        <v>3516407.763333336</v>
      </c>
      <c r="L29" s="13" t="str">
        <f t="shared" si="4"/>
        <v>on track</v>
      </c>
      <c r="M29" s="13" t="str">
        <f t="shared" si="5"/>
        <v>on track</v>
      </c>
      <c r="N29" s="197">
        <v>43647</v>
      </c>
      <c r="O29" s="16">
        <f t="shared" si="6"/>
        <v>46204</v>
      </c>
      <c r="P29" s="13">
        <f ca="1">ROUND(C29-(VLOOKUP(A29,INDIRECT('LOCCS Import'!$E$3&amp;"$A$3"):INDIRECT('LOCCS Import'!$E$3&amp;"$O$54"),3,)),2)</f>
        <v>184460.16</v>
      </c>
      <c r="Q29" s="242" t="e">
        <f>#VALUE!</f>
        <v>#VALUE!</v>
      </c>
    </row>
    <row r="30" spans="1:17" x14ac:dyDescent="0.2">
      <c r="A30" s="4" t="s">
        <v>42</v>
      </c>
      <c r="B30" s="13">
        <f>VLOOKUP(A30,'LOCCS Import'!A$19:N$200,2,)</f>
        <v>355494147</v>
      </c>
      <c r="C30" s="13">
        <f>VLOOKUP(A30,'LOCCS Import'!A$19:N$200,3,)</f>
        <v>335364115.31999999</v>
      </c>
      <c r="D30" s="13">
        <f t="shared" si="0"/>
        <v>20130031.680000007</v>
      </c>
      <c r="E30" s="13">
        <f>VLOOKUP(A30,'LOCCS Import'!A$19:N$200,4,)</f>
        <v>10245882.369999999</v>
      </c>
      <c r="F30" s="13">
        <f>VLOOKUP(A30,'LOCCS Import'!A$19:N$200,5,)</f>
        <v>9435207</v>
      </c>
      <c r="G30" s="14">
        <f>VLOOKUP(A30,'LOCCS Import'!A$19:N$200,6,)</f>
        <v>2.13</v>
      </c>
      <c r="H30" s="14">
        <f>VLOOKUP(A30,'LOCCS Import'!A$19:N$200,7,)</f>
        <v>1.0900000000000001</v>
      </c>
      <c r="I30" s="13">
        <f t="shared" si="1"/>
        <v>853823.53083333327</v>
      </c>
      <c r="J30" s="15">
        <f t="shared" si="2"/>
        <v>1</v>
      </c>
      <c r="K30" s="13">
        <f t="shared" si="3"/>
        <v>19276208.149166673</v>
      </c>
      <c r="L30" s="13">
        <f t="shared" si="4"/>
        <v>1259617.6800000072</v>
      </c>
      <c r="M30" s="13" t="str">
        <f t="shared" si="5"/>
        <v>on track</v>
      </c>
      <c r="N30" s="197">
        <v>43831</v>
      </c>
      <c r="O30" s="16">
        <f t="shared" si="6"/>
        <v>46023</v>
      </c>
      <c r="P30" s="13">
        <f ca="1">ROUND(C30-(VLOOKUP(A30,INDIRECT('LOCCS Import'!$E$3&amp;"$A$3"):INDIRECT('LOCCS Import'!$E$3&amp;"$O$54"),3,)),2)</f>
        <v>783922.59</v>
      </c>
      <c r="Q30" s="242" t="e">
        <f>#VALUE!</f>
        <v>#VALUE!</v>
      </c>
    </row>
    <row r="31" spans="1:17" x14ac:dyDescent="0.2">
      <c r="A31" s="4" t="s">
        <v>43</v>
      </c>
      <c r="B31" s="13">
        <f>VLOOKUP(A31,'LOCCS Import'!A$19:N$200,2,)</f>
        <v>307409614.24000001</v>
      </c>
      <c r="C31" s="13">
        <f>VLOOKUP(A31,'LOCCS Import'!A$19:N$200,3,)</f>
        <v>284523317.00999999</v>
      </c>
      <c r="D31" s="13">
        <f t="shared" si="0"/>
        <v>22886297.230000019</v>
      </c>
      <c r="E31" s="13">
        <f>VLOOKUP(A31,'LOCCS Import'!A$19:N$200,4,)</f>
        <v>4418119.17</v>
      </c>
      <c r="F31" s="13">
        <f>VLOOKUP(A31,'LOCCS Import'!A$19:N$200,5,)</f>
        <v>6878551</v>
      </c>
      <c r="G31" s="14">
        <f>VLOOKUP(A31,'LOCCS Import'!A$19:N$200,6,)</f>
        <v>3.33</v>
      </c>
      <c r="H31" s="14">
        <f>VLOOKUP(A31,'LOCCS Import'!A$19:N$200,7,)</f>
        <v>0.64</v>
      </c>
      <c r="I31" s="13">
        <f t="shared" si="1"/>
        <v>368176.59749999997</v>
      </c>
      <c r="J31" s="15">
        <f t="shared" si="2"/>
        <v>7</v>
      </c>
      <c r="K31" s="13">
        <f t="shared" si="3"/>
        <v>20309061.047500018</v>
      </c>
      <c r="L31" s="13">
        <f t="shared" si="4"/>
        <v>1304170.74714286</v>
      </c>
      <c r="M31" s="13">
        <f t="shared" si="5"/>
        <v>812845.67571428849</v>
      </c>
      <c r="N31" s="197">
        <v>43647</v>
      </c>
      <c r="O31" s="16">
        <f t="shared" si="6"/>
        <v>46204</v>
      </c>
      <c r="P31" s="13">
        <f ca="1">ROUND(C31-(VLOOKUP(A31,INDIRECT('LOCCS Import'!$E$3&amp;"$A$3"):INDIRECT('LOCCS Import'!$E$3&amp;"$O$54"),3,)),2)</f>
        <v>812126.18</v>
      </c>
      <c r="Q31" s="242" t="e">
        <f>#VALUE!</f>
        <v>#VALUE!</v>
      </c>
    </row>
    <row r="32" spans="1:17" x14ac:dyDescent="0.2">
      <c r="A32" s="4" t="s">
        <v>44</v>
      </c>
      <c r="B32" s="13">
        <f>VLOOKUP(A32,'LOCCS Import'!A$19:N$200,2,)</f>
        <v>504504813</v>
      </c>
      <c r="C32" s="13">
        <f>VLOOKUP(A32,'LOCCS Import'!A$19:N$200,3,)</f>
        <v>464169555.19</v>
      </c>
      <c r="D32" s="13">
        <f t="shared" si="0"/>
        <v>40335257.810000002</v>
      </c>
      <c r="E32" s="13">
        <f>VLOOKUP(A32,'LOCCS Import'!A$19:N$200,4,)</f>
        <v>11968159.74</v>
      </c>
      <c r="F32" s="13">
        <f>VLOOKUP(A32,'LOCCS Import'!A$19:N$200,5,)</f>
        <v>10946097</v>
      </c>
      <c r="G32" s="14">
        <f>VLOOKUP(A32,'LOCCS Import'!A$19:N$200,6,)</f>
        <v>3.68</v>
      </c>
      <c r="H32" s="14">
        <f>VLOOKUP(A32,'LOCCS Import'!A$19:N$200,7,)</f>
        <v>1.0900000000000001</v>
      </c>
      <c r="I32" s="13">
        <f t="shared" si="1"/>
        <v>997346.64500000002</v>
      </c>
      <c r="J32" s="15">
        <f t="shared" si="2"/>
        <v>1</v>
      </c>
      <c r="K32" s="13">
        <f t="shared" si="3"/>
        <v>39337911.164999999</v>
      </c>
      <c r="L32" s="13">
        <f t="shared" si="4"/>
        <v>18443063.810000002</v>
      </c>
      <c r="M32" s="13">
        <f t="shared" si="5"/>
        <v>12970015.310000002</v>
      </c>
      <c r="N32" s="197">
        <v>43831</v>
      </c>
      <c r="O32" s="16">
        <f t="shared" si="6"/>
        <v>46023</v>
      </c>
      <c r="P32" s="13">
        <f ca="1">ROUND(C32-(VLOOKUP(A32,INDIRECT('LOCCS Import'!$E$3&amp;"$A$3"):INDIRECT('LOCCS Import'!$E$3&amp;"$O$54"),3,)),2)</f>
        <v>894226.48</v>
      </c>
      <c r="Q32" s="242" t="e">
        <f>#VALUE!</f>
        <v>#VALUE!</v>
      </c>
    </row>
    <row r="33" spans="1:17" x14ac:dyDescent="0.2">
      <c r="A33" s="4" t="s">
        <v>45</v>
      </c>
      <c r="B33" s="13">
        <f>VLOOKUP(A33,'LOCCS Import'!A$19:N$200,2,)</f>
        <v>1324242232.53</v>
      </c>
      <c r="C33" s="13">
        <f>VLOOKUP(A33,'LOCCS Import'!A$19:N$200,3,)</f>
        <v>1147058995.02</v>
      </c>
      <c r="D33" s="13">
        <f t="shared" si="0"/>
        <v>177183237.50999999</v>
      </c>
      <c r="E33" s="13">
        <f>VLOOKUP(A33,'LOCCS Import'!A$19:N$200,4,)</f>
        <v>44126817.07</v>
      </c>
      <c r="F33" s="13">
        <f>VLOOKUP(A33,'LOCCS Import'!A$19:N$200,5,)</f>
        <v>47819699</v>
      </c>
      <c r="G33" s="14">
        <f>VLOOKUP(A33,'LOCCS Import'!A$19:N$200,6,)</f>
        <v>3.71</v>
      </c>
      <c r="H33" s="14">
        <f>VLOOKUP(A33,'LOCCS Import'!A$19:N$200,7,)</f>
        <v>0.92</v>
      </c>
      <c r="I33" s="13">
        <f t="shared" si="1"/>
        <v>3677234.7558333334</v>
      </c>
      <c r="J33" s="15">
        <f t="shared" si="2"/>
        <v>1</v>
      </c>
      <c r="K33" s="13">
        <f t="shared" si="3"/>
        <v>173506002.75416666</v>
      </c>
      <c r="L33" s="13">
        <f t="shared" si="4"/>
        <v>81543839.50999999</v>
      </c>
      <c r="M33" s="13">
        <f t="shared" si="5"/>
        <v>57633990.00999999</v>
      </c>
      <c r="N33" s="197">
        <v>43831</v>
      </c>
      <c r="O33" s="16">
        <f t="shared" si="6"/>
        <v>46023</v>
      </c>
      <c r="P33" s="13">
        <f ca="1">ROUND(C33-(VLOOKUP(A33,INDIRECT('LOCCS Import'!$E$3&amp;"$A$3"):INDIRECT('LOCCS Import'!$E$3&amp;"$O$54"),3,)),2)</f>
        <v>4100340.19</v>
      </c>
      <c r="Q33" s="242" t="e">
        <f>#VALUE!</f>
        <v>#VALUE!</v>
      </c>
    </row>
    <row r="34" spans="1:17" x14ac:dyDescent="0.2">
      <c r="A34" s="4" t="s">
        <v>46</v>
      </c>
      <c r="B34" s="13">
        <f>VLOOKUP(A34,'LOCCS Import'!A$19:N$200,2,)</f>
        <v>1834758280.3599999</v>
      </c>
      <c r="C34" s="13">
        <f>VLOOKUP(A34,'LOCCS Import'!A$19:N$200,3,)</f>
        <v>1608503408.75</v>
      </c>
      <c r="D34" s="13">
        <f t="shared" si="0"/>
        <v>226254871.6099999</v>
      </c>
      <c r="E34" s="13">
        <f>VLOOKUP(A34,'LOCCS Import'!A$19:N$200,4,)</f>
        <v>40926432.950000003</v>
      </c>
      <c r="F34" s="13">
        <f>VLOOKUP(A34,'LOCCS Import'!A$19:N$200,5,)</f>
        <v>46162390</v>
      </c>
      <c r="G34" s="14">
        <f>VLOOKUP(A34,'LOCCS Import'!A$19:N$200,6,)</f>
        <v>4.9000000000000004</v>
      </c>
      <c r="H34" s="14">
        <f>VLOOKUP(A34,'LOCCS Import'!A$19:N$200,7,)</f>
        <v>0.89</v>
      </c>
      <c r="I34" s="13">
        <f t="shared" si="1"/>
        <v>3410536.0791666671</v>
      </c>
      <c r="J34" s="15">
        <f t="shared" si="2"/>
        <v>1</v>
      </c>
      <c r="K34" s="13">
        <f t="shared" si="3"/>
        <v>222844335.53083321</v>
      </c>
      <c r="L34" s="13">
        <f t="shared" si="4"/>
        <v>133930091.6099999</v>
      </c>
      <c r="M34" s="13">
        <f t="shared" si="5"/>
        <v>110848896.6099999</v>
      </c>
      <c r="N34" s="197">
        <v>43831</v>
      </c>
      <c r="O34" s="16">
        <f t="shared" si="6"/>
        <v>46023</v>
      </c>
      <c r="P34" s="13">
        <f ca="1">ROUND(C34-(VLOOKUP(A34,INDIRECT('LOCCS Import'!$E$3&amp;"$A$3"):INDIRECT('LOCCS Import'!$E$3&amp;"$O$54"),3,)),2)</f>
        <v>1644767.5</v>
      </c>
      <c r="Q34" s="242" t="e">
        <f>#VALUE!</f>
        <v>#VALUE!</v>
      </c>
    </row>
    <row r="35" spans="1:17" x14ac:dyDescent="0.2">
      <c r="A35" s="4" t="s">
        <v>47</v>
      </c>
      <c r="B35" s="13">
        <f>VLOOKUP(A35,'LOCCS Import'!A$19:N$200,2,)</f>
        <v>194558780.36000001</v>
      </c>
      <c r="C35" s="13">
        <f>VLOOKUP(A35,'LOCCS Import'!A$19:N$200,3,)</f>
        <v>180871507.41</v>
      </c>
      <c r="D35" s="13">
        <f t="shared" si="0"/>
        <v>13687272.950000018</v>
      </c>
      <c r="E35" s="13">
        <f>VLOOKUP(A35,'LOCCS Import'!A$19:N$200,4,)</f>
        <v>6896961.3899999997</v>
      </c>
      <c r="F35" s="13">
        <f>VLOOKUP(A35,'LOCCS Import'!A$19:N$200,5,)</f>
        <v>3559742</v>
      </c>
      <c r="G35" s="14">
        <f>VLOOKUP(A35,'LOCCS Import'!A$19:N$200,6,)</f>
        <v>3.85</v>
      </c>
      <c r="H35" s="14">
        <f>VLOOKUP(A35,'LOCCS Import'!A$19:N$200,7,)</f>
        <v>1.94</v>
      </c>
      <c r="I35" s="13">
        <f t="shared" si="1"/>
        <v>574746.78249999997</v>
      </c>
      <c r="J35" s="15">
        <f t="shared" si="2"/>
        <v>7</v>
      </c>
      <c r="K35" s="13">
        <f t="shared" si="3"/>
        <v>9664045.4725000188</v>
      </c>
      <c r="L35" s="13">
        <f t="shared" si="4"/>
        <v>938255.56428571686</v>
      </c>
      <c r="M35" s="13">
        <f t="shared" si="5"/>
        <v>683988.27857143118</v>
      </c>
      <c r="N35" s="197">
        <v>43647</v>
      </c>
      <c r="O35" s="16">
        <f t="shared" si="6"/>
        <v>46204</v>
      </c>
      <c r="P35" s="13">
        <f ca="1">ROUND(C35-(VLOOKUP(A35,INDIRECT('LOCCS Import'!$E$3&amp;"$A$3"):INDIRECT('LOCCS Import'!$E$3&amp;"$O$54"),3,)),2)</f>
        <v>0</v>
      </c>
      <c r="Q35" s="242" t="e">
        <f>#VALUE!</f>
        <v>#VALUE!</v>
      </c>
    </row>
    <row r="36" spans="1:17" x14ac:dyDescent="0.2">
      <c r="A36" s="4" t="s">
        <v>48</v>
      </c>
      <c r="B36" s="13">
        <f>VLOOKUP(A36,'LOCCS Import'!A$19:N$200,2,)</f>
        <v>1985336227.8699999</v>
      </c>
      <c r="C36" s="13">
        <f>VLOOKUP(A36,'LOCCS Import'!A$19:N$200,3,)</f>
        <v>1912314101.1600001</v>
      </c>
      <c r="D36" s="13">
        <f t="shared" si="0"/>
        <v>73022126.7099998</v>
      </c>
      <c r="E36" s="13">
        <f>VLOOKUP(A36,'LOCCS Import'!A$19:N$200,4,)</f>
        <v>42155153.490000002</v>
      </c>
      <c r="F36" s="13">
        <f>VLOOKUP(A36,'LOCCS Import'!A$19:N$200,5,)</f>
        <v>45588088</v>
      </c>
      <c r="G36" s="14">
        <f>VLOOKUP(A36,'LOCCS Import'!A$19:N$200,6,)</f>
        <v>1.6</v>
      </c>
      <c r="H36" s="14">
        <f>VLOOKUP(A36,'LOCCS Import'!A$19:N$200,7,)</f>
        <v>0.92</v>
      </c>
      <c r="I36" s="13">
        <f t="shared" si="1"/>
        <v>3512929.4575</v>
      </c>
      <c r="J36" s="15">
        <f t="shared" si="2"/>
        <v>7</v>
      </c>
      <c r="K36" s="13">
        <f t="shared" si="3"/>
        <v>48431620.507499799</v>
      </c>
      <c r="L36" s="13" t="str">
        <f t="shared" si="4"/>
        <v>on track</v>
      </c>
      <c r="M36" s="13" t="str">
        <f t="shared" si="5"/>
        <v>on track</v>
      </c>
      <c r="N36" s="197">
        <v>43647</v>
      </c>
      <c r="O36" s="16">
        <f t="shared" si="6"/>
        <v>46204</v>
      </c>
      <c r="P36" s="13">
        <f ca="1">ROUND(C36-(VLOOKUP(A36,INDIRECT('LOCCS Import'!$E$3&amp;"$A$3"):INDIRECT('LOCCS Import'!$E$3&amp;"$O$54"),3,)),2)</f>
        <v>4845398.9000000004</v>
      </c>
      <c r="Q36" s="242" t="e">
        <f>#VALUE!</f>
        <v>#VALUE!</v>
      </c>
    </row>
    <row r="37" spans="1:17" x14ac:dyDescent="0.2">
      <c r="A37" s="4" t="s">
        <v>49</v>
      </c>
      <c r="B37" s="13">
        <f>VLOOKUP(A37,'LOCCS Import'!A$19:N$200,2,)</f>
        <v>699324314.05999994</v>
      </c>
      <c r="C37" s="13">
        <f>VLOOKUP(A37,'LOCCS Import'!A$19:N$200,3,)</f>
        <v>674347919.73000002</v>
      </c>
      <c r="D37" s="13">
        <f t="shared" si="0"/>
        <v>24976394.329999924</v>
      </c>
      <c r="E37" s="13">
        <f>VLOOKUP(A37,'LOCCS Import'!A$19:N$200,4,)</f>
        <v>10748663.92</v>
      </c>
      <c r="F37" s="13">
        <f>VLOOKUP(A37,'LOCCS Import'!A$19:N$200,5,)</f>
        <v>14024709</v>
      </c>
      <c r="G37" s="14">
        <f>VLOOKUP(A37,'LOCCS Import'!A$19:N$200,6,)</f>
        <v>1.78</v>
      </c>
      <c r="H37" s="14">
        <f>VLOOKUP(A37,'LOCCS Import'!A$19:N$200,7,)</f>
        <v>0.77</v>
      </c>
      <c r="I37" s="13">
        <f t="shared" si="1"/>
        <v>895721.99333333329</v>
      </c>
      <c r="J37" s="15">
        <f t="shared" si="2"/>
        <v>4</v>
      </c>
      <c r="K37" s="13">
        <f t="shared" si="3"/>
        <v>21393506.356666591</v>
      </c>
      <c r="L37" s="13" t="str">
        <f t="shared" si="4"/>
        <v>on track</v>
      </c>
      <c r="M37" s="13" t="str">
        <f t="shared" si="5"/>
        <v>on track</v>
      </c>
      <c r="N37" s="197">
        <v>43922</v>
      </c>
      <c r="O37" s="16">
        <f t="shared" si="6"/>
        <v>46113</v>
      </c>
      <c r="P37" s="13">
        <f ca="1">ROUND(C37-(VLOOKUP(A37,INDIRECT('LOCCS Import'!$E$3&amp;"$A$3"):INDIRECT('LOCCS Import'!$E$3&amp;"$O$54"),3,)),2)</f>
        <v>1684228.07</v>
      </c>
      <c r="Q37" s="242" t="e">
        <f>#VALUE!</f>
        <v>#VALUE!</v>
      </c>
    </row>
    <row r="38" spans="1:17" x14ac:dyDescent="0.2">
      <c r="A38" s="4" t="s">
        <v>50</v>
      </c>
      <c r="B38" s="13">
        <f>VLOOKUP(A38,'LOCCS Import'!A$19:N$200,2,)</f>
        <v>557171086.30999994</v>
      </c>
      <c r="C38" s="13">
        <f>VLOOKUP(A38,'LOCCS Import'!A$19:N$200,3,)</f>
        <v>538777145.30999994</v>
      </c>
      <c r="D38" s="13">
        <f t="shared" si="0"/>
        <v>18393941</v>
      </c>
      <c r="E38" s="13">
        <f>VLOOKUP(A38,'LOCCS Import'!A$19:N$200,4,)</f>
        <v>15008065.6</v>
      </c>
      <c r="F38" s="13">
        <f>VLOOKUP(A38,'LOCCS Import'!A$19:N$200,5,)</f>
        <v>11761407</v>
      </c>
      <c r="G38" s="14">
        <f>VLOOKUP(A38,'LOCCS Import'!A$19:N$200,6,)</f>
        <v>1.56</v>
      </c>
      <c r="H38" s="14">
        <f>VLOOKUP(A38,'LOCCS Import'!A$19:N$200,7,)</f>
        <v>1.28</v>
      </c>
      <c r="I38" s="13">
        <f t="shared" si="1"/>
        <v>1250672.1333333333</v>
      </c>
      <c r="J38" s="15">
        <f t="shared" si="2"/>
        <v>1</v>
      </c>
      <c r="K38" s="13">
        <f t="shared" si="3"/>
        <v>17143268.866666667</v>
      </c>
      <c r="L38" s="13" t="str">
        <f t="shared" si="4"/>
        <v>on track</v>
      </c>
      <c r="M38" s="13" t="str">
        <f t="shared" si="5"/>
        <v>on track</v>
      </c>
      <c r="N38" s="197">
        <v>43831</v>
      </c>
      <c r="O38" s="16">
        <f t="shared" si="6"/>
        <v>46023</v>
      </c>
      <c r="P38" s="13">
        <f ca="1">ROUND(C38-(VLOOKUP(A38,INDIRECT('LOCCS Import'!$E$3&amp;"$A$3"):INDIRECT('LOCCS Import'!$E$3&amp;"$O$54"),3,)),2)</f>
        <v>977003</v>
      </c>
      <c r="Q38" s="242" t="e">
        <f>#VALUE!</f>
        <v>#VALUE!</v>
      </c>
    </row>
    <row r="39" spans="1:17" x14ac:dyDescent="0.2">
      <c r="A39" s="4" t="s">
        <v>51</v>
      </c>
      <c r="B39" s="13">
        <f>VLOOKUP(A39,'LOCCS Import'!A$19:N$200,2,)</f>
        <v>2041893568.29</v>
      </c>
      <c r="C39" s="13">
        <f>VLOOKUP(A39,'LOCCS Import'!A$19:N$200,3,)</f>
        <v>1930222536.48</v>
      </c>
      <c r="D39" s="13">
        <f t="shared" si="0"/>
        <v>111671031.80999994</v>
      </c>
      <c r="E39" s="13">
        <f>VLOOKUP(A39,'LOCCS Import'!A$19:N$200,4,)</f>
        <v>39709785.649999999</v>
      </c>
      <c r="F39" s="13">
        <f>VLOOKUP(A39,'LOCCS Import'!A$19:N$200,5,)</f>
        <v>40828727</v>
      </c>
      <c r="G39" s="14">
        <f>VLOOKUP(A39,'LOCCS Import'!A$19:N$200,6,)</f>
        <v>2.74</v>
      </c>
      <c r="H39" s="14">
        <f>VLOOKUP(A39,'LOCCS Import'!A$19:N$200,7,)</f>
        <v>0.97</v>
      </c>
      <c r="I39" s="13">
        <f t="shared" si="1"/>
        <v>3309148.8041666667</v>
      </c>
      <c r="J39" s="15">
        <f t="shared" si="2"/>
        <v>1</v>
      </c>
      <c r="K39" s="13">
        <f t="shared" si="3"/>
        <v>108361883.00583328</v>
      </c>
      <c r="L39" s="13">
        <f t="shared" si="4"/>
        <v>30013577.809999943</v>
      </c>
      <c r="M39" s="13">
        <f t="shared" si="5"/>
        <v>9599214.3099999428</v>
      </c>
      <c r="N39" s="197">
        <v>43831</v>
      </c>
      <c r="O39" s="16">
        <f t="shared" si="6"/>
        <v>46023</v>
      </c>
      <c r="P39" s="13">
        <f ca="1">ROUND(C39-(VLOOKUP(A39,INDIRECT('LOCCS Import'!$E$3&amp;"$A$3"):INDIRECT('LOCCS Import'!$E$3&amp;"$O$54"),3,)),2)</f>
        <v>2221490.7799999998</v>
      </c>
      <c r="Q39" s="242" t="e">
        <f>#VALUE!</f>
        <v>#VALUE!</v>
      </c>
    </row>
    <row r="40" spans="1:17" x14ac:dyDescent="0.2">
      <c r="A40" s="4" t="s">
        <v>52</v>
      </c>
      <c r="B40" s="13">
        <f>VLOOKUP(A40,'LOCCS Import'!A$19:N$200,2,)</f>
        <v>1988273334</v>
      </c>
      <c r="C40" s="13">
        <f>VLOOKUP(A40,'LOCCS Import'!A$19:N$200,3,)</f>
        <v>1891689690.6500001</v>
      </c>
      <c r="D40" s="13">
        <f t="shared" si="0"/>
        <v>96583643.349999905</v>
      </c>
      <c r="E40" s="13">
        <f>VLOOKUP(A40,'LOCCS Import'!A$19:N$200,4,)</f>
        <v>25216348.43</v>
      </c>
      <c r="F40" s="13">
        <f>VLOOKUP(A40,'LOCCS Import'!A$19:N$200,5,)</f>
        <v>21377853</v>
      </c>
      <c r="G40" s="14">
        <f>VLOOKUP(A40,'LOCCS Import'!A$19:N$200,6,)</f>
        <v>4.5199999999999996</v>
      </c>
      <c r="H40" s="14">
        <f>VLOOKUP(A40,'LOCCS Import'!A$19:N$200,7,)</f>
        <v>1.18</v>
      </c>
      <c r="I40" s="13">
        <f t="shared" si="1"/>
        <v>2101362.3691666666</v>
      </c>
      <c r="J40" s="15">
        <f t="shared" si="2"/>
        <v>7</v>
      </c>
      <c r="K40" s="13">
        <f t="shared" si="3"/>
        <v>81874106.765833244</v>
      </c>
      <c r="L40" s="13">
        <f t="shared" si="4"/>
        <v>7689705.3357142722</v>
      </c>
      <c r="M40" s="13">
        <f t="shared" si="5"/>
        <v>6162715.8357142722</v>
      </c>
      <c r="N40" s="197">
        <v>43647</v>
      </c>
      <c r="O40" s="16">
        <f t="shared" si="6"/>
        <v>46204</v>
      </c>
      <c r="P40" s="13">
        <f ca="1">ROUND(C40-(VLOOKUP(A40,INDIRECT('LOCCS Import'!$E$3&amp;"$A$3"):INDIRECT('LOCCS Import'!$E$3&amp;"$O$54"),3,)),2)</f>
        <v>4761569.5199999996</v>
      </c>
      <c r="Q40" s="242" t="e">
        <f>#VALUE!</f>
        <v>#VALUE!</v>
      </c>
    </row>
    <row r="41" spans="1:17" x14ac:dyDescent="0.2">
      <c r="A41" s="4" t="s">
        <v>53</v>
      </c>
      <c r="B41" s="13">
        <f>VLOOKUP(A41,'LOCCS Import'!A$19:N$200,2,)</f>
        <v>208940278.25</v>
      </c>
      <c r="C41" s="13">
        <f>VLOOKUP(A41,'LOCCS Import'!A$19:N$200,3,)</f>
        <v>190380583.19999999</v>
      </c>
      <c r="D41" s="13">
        <f t="shared" si="0"/>
        <v>18559695.050000012</v>
      </c>
      <c r="E41" s="13">
        <f>VLOOKUP(A41,'LOCCS Import'!A$19:N$200,4,)</f>
        <v>5064109.53</v>
      </c>
      <c r="F41" s="13">
        <f>VLOOKUP(A41,'LOCCS Import'!A$19:N$200,5,)</f>
        <v>5755637</v>
      </c>
      <c r="G41" s="14">
        <f>VLOOKUP(A41,'LOCCS Import'!A$19:N$200,6,)</f>
        <v>3.22</v>
      </c>
      <c r="H41" s="14">
        <f>VLOOKUP(A41,'LOCCS Import'!A$19:N$200,7,)</f>
        <v>0.88</v>
      </c>
      <c r="I41" s="13">
        <f t="shared" si="1"/>
        <v>422009.1275</v>
      </c>
      <c r="J41" s="15">
        <f t="shared" si="2"/>
        <v>7</v>
      </c>
      <c r="K41" s="13">
        <f t="shared" si="3"/>
        <v>15605631.157500012</v>
      </c>
      <c r="L41" s="13">
        <f t="shared" si="4"/>
        <v>1006917.2928571446</v>
      </c>
      <c r="M41" s="13">
        <f t="shared" si="5"/>
        <v>595800.36428571597</v>
      </c>
      <c r="N41" s="197">
        <v>43647</v>
      </c>
      <c r="O41" s="16">
        <f t="shared" si="6"/>
        <v>46204</v>
      </c>
      <c r="P41" s="13">
        <f ca="1">ROUND(C41-(VLOOKUP(A41,INDIRECT('LOCCS Import'!$E$3&amp;"$A$3"):INDIRECT('LOCCS Import'!$E$3&amp;"$O$54"),3,)),2)</f>
        <v>496207.88</v>
      </c>
      <c r="Q41" s="242" t="e">
        <f>#VALUE!</f>
        <v>#VALUE!</v>
      </c>
    </row>
    <row r="42" spans="1:17" x14ac:dyDescent="0.2">
      <c r="A42" s="4" t="s">
        <v>54</v>
      </c>
      <c r="B42" s="13">
        <f>VLOOKUP(A42,'LOCCS Import'!A$19:N$200,2,)</f>
        <v>1062884699.45</v>
      </c>
      <c r="C42" s="13">
        <f>VLOOKUP(A42,'LOCCS Import'!A$19:N$200,3,)</f>
        <v>982220065.13</v>
      </c>
      <c r="D42" s="13">
        <f t="shared" si="0"/>
        <v>80664634.320000052</v>
      </c>
      <c r="E42" s="13">
        <f>VLOOKUP(A42,'LOCCS Import'!A$19:N$200,4,)</f>
        <v>20722626.93</v>
      </c>
      <c r="F42" s="13">
        <f>VLOOKUP(A42,'LOCCS Import'!A$19:N$200,5,)</f>
        <v>20295542</v>
      </c>
      <c r="G42" s="14">
        <f>VLOOKUP(A42,'LOCCS Import'!A$19:N$200,6,)</f>
        <v>3.97</v>
      </c>
      <c r="H42" s="14">
        <f>VLOOKUP(A42,'LOCCS Import'!A$19:N$200,7,)</f>
        <v>1.02</v>
      </c>
      <c r="I42" s="13">
        <f t="shared" si="1"/>
        <v>1726885.5774999999</v>
      </c>
      <c r="J42" s="15">
        <f t="shared" si="2"/>
        <v>4</v>
      </c>
      <c r="K42" s="13">
        <f t="shared" si="3"/>
        <v>73757092.01000005</v>
      </c>
      <c r="L42" s="13">
        <f t="shared" si="4"/>
        <v>10018387.580000013</v>
      </c>
      <c r="M42" s="13">
        <f t="shared" si="5"/>
        <v>7481444.8300000131</v>
      </c>
      <c r="N42" s="197">
        <v>43922</v>
      </c>
      <c r="O42" s="16">
        <f t="shared" si="6"/>
        <v>46113</v>
      </c>
      <c r="P42" s="13">
        <f ca="1">ROUND(C42-(VLOOKUP(A42,INDIRECT('LOCCS Import'!$E$3&amp;"$A$3"):INDIRECT('LOCCS Import'!$E$3&amp;"$O$54"),3,)),2)</f>
        <v>1815765.4</v>
      </c>
      <c r="Q42" s="242" t="e">
        <f>#VALUE!</f>
        <v>#VALUE!</v>
      </c>
    </row>
    <row r="43" spans="1:17" x14ac:dyDescent="0.2">
      <c r="A43" s="4" t="s">
        <v>55</v>
      </c>
      <c r="B43" s="13">
        <f>VLOOKUP(A43,'LOCCS Import'!A$19:N$200,2,)</f>
        <v>265541640</v>
      </c>
      <c r="C43" s="13">
        <f>VLOOKUP(A43,'LOCCS Import'!A$19:N$200,3,)</f>
        <v>243099732.75</v>
      </c>
      <c r="D43" s="13">
        <f t="shared" si="0"/>
        <v>22441907.25</v>
      </c>
      <c r="E43" s="13">
        <f>VLOOKUP(A43,'LOCCS Import'!A$19:N$200,4,)</f>
        <v>3047483.52</v>
      </c>
      <c r="F43" s="13">
        <f>VLOOKUP(A43,'LOCCS Import'!A$19:N$200,5,)</f>
        <v>5658227</v>
      </c>
      <c r="G43" s="14">
        <f>VLOOKUP(A43,'LOCCS Import'!A$19:N$200,6,)</f>
        <v>3.97</v>
      </c>
      <c r="H43" s="14">
        <f>VLOOKUP(A43,'LOCCS Import'!A$19:N$200,7,)</f>
        <v>0.54</v>
      </c>
      <c r="I43" s="13">
        <f t="shared" si="1"/>
        <v>253956.96</v>
      </c>
      <c r="J43" s="15">
        <f t="shared" si="2"/>
        <v>1</v>
      </c>
      <c r="K43" s="13">
        <f t="shared" si="3"/>
        <v>22187950.289999999</v>
      </c>
      <c r="L43" s="13">
        <f t="shared" si="4"/>
        <v>11125453.25</v>
      </c>
      <c r="M43" s="13">
        <f t="shared" si="5"/>
        <v>8296339.75</v>
      </c>
      <c r="N43" s="197">
        <v>43831</v>
      </c>
      <c r="O43" s="16">
        <f t="shared" si="6"/>
        <v>46023</v>
      </c>
      <c r="P43" s="13">
        <f ca="1">ROUND(C43-(VLOOKUP(A43,INDIRECT('LOCCS Import'!$E$3&amp;"$A$3"):INDIRECT('LOCCS Import'!$E$3&amp;"$O$54"),3,)),2)</f>
        <v>0</v>
      </c>
      <c r="Q43" s="242" t="e">
        <f>#VALUE!</f>
        <v>#VALUE!</v>
      </c>
    </row>
    <row r="44" spans="1:17" x14ac:dyDescent="0.2">
      <c r="A44" s="4" t="s">
        <v>56</v>
      </c>
      <c r="B44" s="13">
        <f>VLOOKUP(A44,'LOCCS Import'!A$19:N$200,2,)</f>
        <v>1210656314</v>
      </c>
      <c r="C44" s="13">
        <f>VLOOKUP(A44,'LOCCS Import'!A$19:N$200,3,)</f>
        <v>1112537918.49</v>
      </c>
      <c r="D44" s="13">
        <f t="shared" si="0"/>
        <v>98118395.50999999</v>
      </c>
      <c r="E44" s="13">
        <f>VLOOKUP(A44,'LOCCS Import'!A$19:N$200,4,)</f>
        <v>20739846.91</v>
      </c>
      <c r="F44" s="13">
        <f>VLOOKUP(A44,'LOCCS Import'!A$19:N$200,5,)</f>
        <v>28278835</v>
      </c>
      <c r="G44" s="14">
        <f>VLOOKUP(A44,'LOCCS Import'!A$19:N$200,6,)</f>
        <v>3.47</v>
      </c>
      <c r="H44" s="14">
        <f>VLOOKUP(A44,'LOCCS Import'!A$19:N$200,7,)</f>
        <v>0.73</v>
      </c>
      <c r="I44" s="13">
        <f t="shared" si="1"/>
        <v>1728320.5758333334</v>
      </c>
      <c r="J44" s="15">
        <f t="shared" si="2"/>
        <v>7</v>
      </c>
      <c r="K44" s="13">
        <f t="shared" si="3"/>
        <v>86020151.479166657</v>
      </c>
      <c r="L44" s="13">
        <f t="shared" si="4"/>
        <v>5937246.5014285697</v>
      </c>
      <c r="M44" s="13">
        <f t="shared" si="5"/>
        <v>3917329.7157142842</v>
      </c>
      <c r="N44" s="197">
        <v>43647</v>
      </c>
      <c r="O44" s="16">
        <f t="shared" si="6"/>
        <v>46204</v>
      </c>
      <c r="P44" s="13">
        <f ca="1">ROUND(C44-(VLOOKUP(A44,INDIRECT('LOCCS Import'!$E$3&amp;"$A$3"):INDIRECT('LOCCS Import'!$E$3&amp;"$O$54"),3,)),2)</f>
        <v>1359111.2</v>
      </c>
      <c r="Q44" s="242" t="e">
        <f>#VALUE!</f>
        <v>#VALUE!</v>
      </c>
    </row>
    <row r="45" spans="1:17" x14ac:dyDescent="0.2">
      <c r="A45" s="4" t="s">
        <v>57</v>
      </c>
      <c r="B45" s="13">
        <f>VLOOKUP(A45,'LOCCS Import'!A$19:N$200,2,)</f>
        <v>2950491414.54</v>
      </c>
      <c r="C45" s="13">
        <f>VLOOKUP(A45,'LOCCS Import'!A$19:N$200,3,)</f>
        <v>2798050511.3200002</v>
      </c>
      <c r="D45" s="13">
        <f t="shared" si="0"/>
        <v>152440903.21999979</v>
      </c>
      <c r="E45" s="13">
        <f>VLOOKUP(A45,'LOCCS Import'!A$19:N$200,4,)</f>
        <v>59015953.539999999</v>
      </c>
      <c r="F45" s="13">
        <f>VLOOKUP(A45,'LOCCS Import'!A$19:N$200,5,)</f>
        <v>71178309</v>
      </c>
      <c r="G45" s="14">
        <f>VLOOKUP(A45,'LOCCS Import'!A$19:N$200,6,)</f>
        <v>2.14</v>
      </c>
      <c r="H45" s="14">
        <f>VLOOKUP(A45,'LOCCS Import'!A$19:N$200,7,)</f>
        <v>0.83</v>
      </c>
      <c r="I45" s="13">
        <f t="shared" si="1"/>
        <v>4917996.1283333329</v>
      </c>
      <c r="J45" s="15">
        <f t="shared" si="2"/>
        <v>9</v>
      </c>
      <c r="K45" s="13">
        <f t="shared" si="3"/>
        <v>108178938.06499979</v>
      </c>
      <c r="L45" s="13" t="str">
        <f t="shared" si="4"/>
        <v>on track</v>
      </c>
      <c r="M45" s="13" t="str">
        <f t="shared" si="5"/>
        <v>on track</v>
      </c>
      <c r="N45" s="197">
        <v>44075</v>
      </c>
      <c r="O45" s="16">
        <f t="shared" si="6"/>
        <v>46266</v>
      </c>
      <c r="P45" s="13">
        <f ca="1">ROUND(C45-(VLOOKUP(A45,INDIRECT('LOCCS Import'!$E$3&amp;"$A$3"):INDIRECT('LOCCS Import'!$E$3&amp;"$O$54"),3,)),2)</f>
        <v>4019085.19</v>
      </c>
      <c r="Q45" s="242" t="e">
        <f>#VALUE!</f>
        <v>#VALUE!</v>
      </c>
    </row>
    <row r="46" spans="1:17" x14ac:dyDescent="0.2">
      <c r="A46" s="4" t="s">
        <v>58</v>
      </c>
      <c r="B46" s="13">
        <f>VLOOKUP(A46,'LOCCS Import'!A$19:N$200,2,)</f>
        <v>249254814</v>
      </c>
      <c r="C46" s="13">
        <f>VLOOKUP(A46,'LOCCS Import'!A$19:N$200,3,)</f>
        <v>237128298.05000001</v>
      </c>
      <c r="D46" s="13">
        <f t="shared" si="0"/>
        <v>12126515.949999988</v>
      </c>
      <c r="E46" s="13">
        <f>VLOOKUP(A46,'LOCCS Import'!A$19:N$200,4,)</f>
        <v>3684511.84</v>
      </c>
      <c r="F46" s="13">
        <f>VLOOKUP(A46,'LOCCS Import'!A$19:N$200,5,)</f>
        <v>5490163</v>
      </c>
      <c r="G46" s="14">
        <f>VLOOKUP(A46,'LOCCS Import'!A$19:N$200,6,)</f>
        <v>2.21</v>
      </c>
      <c r="H46" s="14">
        <f>VLOOKUP(A46,'LOCCS Import'!A$19:N$200,7,)</f>
        <v>0.67</v>
      </c>
      <c r="I46" s="13">
        <f t="shared" si="1"/>
        <v>307042.65333333332</v>
      </c>
      <c r="J46" s="15">
        <f t="shared" si="2"/>
        <v>7</v>
      </c>
      <c r="K46" s="13">
        <f t="shared" si="3"/>
        <v>9977217.3766666539</v>
      </c>
      <c r="L46" s="13" t="str">
        <f t="shared" si="4"/>
        <v>on track</v>
      </c>
      <c r="M46" s="13" t="str">
        <f t="shared" si="5"/>
        <v>on track</v>
      </c>
      <c r="N46" s="197">
        <v>43647</v>
      </c>
      <c r="O46" s="16">
        <f t="shared" si="6"/>
        <v>46204</v>
      </c>
      <c r="P46" s="13">
        <f ca="1">ROUND(C46-(VLOOKUP(A46,INDIRECT('LOCCS Import'!$E$3&amp;"$A$3"):INDIRECT('LOCCS Import'!$E$3&amp;"$O$54"),3,)),2)</f>
        <v>609728</v>
      </c>
      <c r="Q46" s="242" t="e">
        <f>#VALUE!</f>
        <v>#VALUE!</v>
      </c>
    </row>
    <row r="47" spans="1:17" x14ac:dyDescent="0.2">
      <c r="A47" s="4" t="s">
        <v>59</v>
      </c>
      <c r="B47" s="13">
        <f>VLOOKUP(A47,'LOCCS Import'!A$19:N$200,2,)</f>
        <v>292527132</v>
      </c>
      <c r="C47" s="13">
        <f>VLOOKUP(A47,'LOCCS Import'!A$19:N$200,3,)</f>
        <v>269891608</v>
      </c>
      <c r="D47" s="13">
        <f t="shared" si="0"/>
        <v>22635524</v>
      </c>
      <c r="E47" s="13">
        <f>VLOOKUP(A47,'LOCCS Import'!A$19:N$200,4,)</f>
        <v>4678565</v>
      </c>
      <c r="F47" s="13">
        <f>VLOOKUP(A47,'LOCCS Import'!A$19:N$200,5,)</f>
        <v>7440366</v>
      </c>
      <c r="G47" s="14">
        <f>VLOOKUP(A47,'LOCCS Import'!A$19:N$200,6,)</f>
        <v>3.04</v>
      </c>
      <c r="H47" s="14">
        <f>VLOOKUP(A47,'LOCCS Import'!A$19:N$200,7,)</f>
        <v>0.63</v>
      </c>
      <c r="I47" s="13">
        <f t="shared" si="1"/>
        <v>389880.41666666669</v>
      </c>
      <c r="J47" s="15">
        <f t="shared" si="2"/>
        <v>7</v>
      </c>
      <c r="K47" s="13">
        <f t="shared" si="3"/>
        <v>19906361.083333332</v>
      </c>
      <c r="L47" s="13">
        <f t="shared" si="4"/>
        <v>1107827.4285714286</v>
      </c>
      <c r="M47" s="13">
        <f t="shared" si="5"/>
        <v>576372.71428571432</v>
      </c>
      <c r="N47" s="197">
        <v>43647</v>
      </c>
      <c r="O47" s="16">
        <f t="shared" si="6"/>
        <v>46204</v>
      </c>
      <c r="P47" s="13">
        <f ca="1">ROUND(C47-(VLOOKUP(A47,INDIRECT('LOCCS Import'!$E$3&amp;"$A$3"):INDIRECT('LOCCS Import'!$E$3&amp;"$O$54"),3,)),2)</f>
        <v>138927</v>
      </c>
      <c r="Q47" s="242" t="e">
        <f>#VALUE!</f>
        <v>#VALUE!</v>
      </c>
    </row>
    <row r="48" spans="1:17" x14ac:dyDescent="0.2">
      <c r="A48" s="4" t="s">
        <v>60</v>
      </c>
      <c r="B48" s="13">
        <f>VLOOKUP(A48,'LOCCS Import'!A$19:N$200,2,)</f>
        <v>832991634</v>
      </c>
      <c r="C48" s="13">
        <f>VLOOKUP(A48,'LOCCS Import'!A$19:N$200,3,)</f>
        <v>742413768.75999999</v>
      </c>
      <c r="D48" s="13">
        <f t="shared" si="0"/>
        <v>90577865.24000001</v>
      </c>
      <c r="E48" s="13">
        <f>VLOOKUP(A48,'LOCCS Import'!A$19:N$200,4,)</f>
        <v>14077994.68</v>
      </c>
      <c r="F48" s="13">
        <f>VLOOKUP(A48,'LOCCS Import'!A$19:N$200,5,)</f>
        <v>19318411</v>
      </c>
      <c r="G48" s="14">
        <f>VLOOKUP(A48,'LOCCS Import'!A$19:N$200,6,)</f>
        <v>4.6900000000000004</v>
      </c>
      <c r="H48" s="14">
        <f>VLOOKUP(A48,'LOCCS Import'!A$19:N$200,7,)</f>
        <v>0.73</v>
      </c>
      <c r="I48" s="13">
        <f t="shared" si="1"/>
        <v>1173166.2233333334</v>
      </c>
      <c r="J48" s="15">
        <f t="shared" si="2"/>
        <v>7</v>
      </c>
      <c r="K48" s="13">
        <f t="shared" si="3"/>
        <v>82365701.676666677</v>
      </c>
      <c r="L48" s="13">
        <f t="shared" si="4"/>
        <v>7420149.0342857158</v>
      </c>
      <c r="M48" s="13">
        <f t="shared" si="5"/>
        <v>6040262.5342857158</v>
      </c>
      <c r="N48" s="197">
        <v>43647</v>
      </c>
      <c r="O48" s="16">
        <f t="shared" si="6"/>
        <v>46204</v>
      </c>
      <c r="P48" s="13">
        <f ca="1">ROUND(C48-(VLOOKUP(A48,INDIRECT('LOCCS Import'!$E$3&amp;"$A$3"):INDIRECT('LOCCS Import'!$E$3&amp;"$O$54"),3,)),2)</f>
        <v>1360781.22</v>
      </c>
      <c r="Q48" s="242" t="e">
        <f>#VALUE!</f>
        <v>#VALUE!</v>
      </c>
    </row>
    <row r="49" spans="1:17" x14ac:dyDescent="0.2">
      <c r="A49" s="4" t="s">
        <v>61</v>
      </c>
      <c r="B49" s="13">
        <f>VLOOKUP(A49,'LOCCS Import'!A$19:N$200,2,)</f>
        <v>548221203</v>
      </c>
      <c r="C49" s="13">
        <f>VLOOKUP(A49,'LOCCS Import'!A$19:N$200,3,)</f>
        <v>507279852.02999997</v>
      </c>
      <c r="D49" s="13">
        <f t="shared" si="0"/>
        <v>40941350.970000029</v>
      </c>
      <c r="E49" s="13">
        <f>VLOOKUP(A49,'LOCCS Import'!A$19:N$200,4,)</f>
        <v>13277720.5</v>
      </c>
      <c r="F49" s="13">
        <f>VLOOKUP(A49,'LOCCS Import'!A$19:N$200,5,)</f>
        <v>13072724</v>
      </c>
      <c r="G49" s="14">
        <f>VLOOKUP(A49,'LOCCS Import'!A$19:N$200,6,)</f>
        <v>3.13</v>
      </c>
      <c r="H49" s="14">
        <f>VLOOKUP(A49,'LOCCS Import'!A$19:N$200,7,)</f>
        <v>1.02</v>
      </c>
      <c r="I49" s="13">
        <f t="shared" si="1"/>
        <v>1106476.7083333333</v>
      </c>
      <c r="J49" s="15">
        <f t="shared" si="2"/>
        <v>7</v>
      </c>
      <c r="K49" s="13">
        <f t="shared" si="3"/>
        <v>33196014.011666697</v>
      </c>
      <c r="L49" s="13">
        <f t="shared" si="4"/>
        <v>2113700.4242857182</v>
      </c>
      <c r="M49" s="13">
        <f t="shared" si="5"/>
        <v>1179934.4242857185</v>
      </c>
      <c r="N49" s="197">
        <v>43647</v>
      </c>
      <c r="O49" s="16">
        <f t="shared" si="6"/>
        <v>46204</v>
      </c>
      <c r="P49" s="13">
        <f ca="1">ROUND(C49-(VLOOKUP(A49,INDIRECT('LOCCS Import'!$E$3&amp;"$A$3"):INDIRECT('LOCCS Import'!$E$3&amp;"$O$54"),3,)),2)</f>
        <v>1348880.63</v>
      </c>
      <c r="Q49" s="242" t="e">
        <f>#VALUE!</f>
        <v>#VALUE!</v>
      </c>
    </row>
    <row r="50" spans="1:17" x14ac:dyDescent="0.2">
      <c r="A50" s="4" t="s">
        <v>62</v>
      </c>
      <c r="B50" s="13">
        <f>VLOOKUP(A50,'LOCCS Import'!A$19:N$200,2,)</f>
        <v>736219977.32000005</v>
      </c>
      <c r="C50" s="13">
        <f>VLOOKUP(A50,'LOCCS Import'!A$19:N$200,3,)</f>
        <v>655795672.37</v>
      </c>
      <c r="D50" s="13">
        <f t="shared" si="0"/>
        <v>80424304.950000048</v>
      </c>
      <c r="E50" s="13">
        <f>VLOOKUP(A50,'LOCCS Import'!A$19:N$200,4,)</f>
        <v>14043201.439999999</v>
      </c>
      <c r="F50" s="13">
        <f>VLOOKUP(A50,'LOCCS Import'!A$19:N$200,5,)</f>
        <v>13740593</v>
      </c>
      <c r="G50" s="14">
        <f>VLOOKUP(A50,'LOCCS Import'!A$19:N$200,6,)</f>
        <v>5.85</v>
      </c>
      <c r="H50" s="14">
        <f>VLOOKUP(A50,'LOCCS Import'!A$19:N$200,7,)</f>
        <v>1.02</v>
      </c>
      <c r="I50" s="13">
        <f t="shared" si="1"/>
        <v>1170266.7866666666</v>
      </c>
      <c r="J50" s="15">
        <f t="shared" si="2"/>
        <v>7</v>
      </c>
      <c r="K50" s="13">
        <f t="shared" si="3"/>
        <v>72232437.443333387</v>
      </c>
      <c r="L50" s="13">
        <f t="shared" si="4"/>
        <v>7563302.7071428644</v>
      </c>
      <c r="M50" s="13">
        <f t="shared" si="5"/>
        <v>6581831.7785714353</v>
      </c>
      <c r="N50" s="197">
        <v>43647</v>
      </c>
      <c r="O50" s="16">
        <f t="shared" si="6"/>
        <v>46204</v>
      </c>
      <c r="P50" s="13">
        <f ca="1">ROUND(C50-(VLOOKUP(A50,INDIRECT('LOCCS Import'!$E$3&amp;"$A$3"):INDIRECT('LOCCS Import'!$E$3&amp;"$O$54"),3,)),2)</f>
        <v>2166534.14</v>
      </c>
      <c r="Q50" s="242" t="e">
        <f>#VALUE!</f>
        <v>#VALUE!</v>
      </c>
    </row>
    <row r="51" spans="1:17" x14ac:dyDescent="0.2">
      <c r="A51" s="4" t="s">
        <v>63</v>
      </c>
      <c r="B51" s="13">
        <f>VLOOKUP(A51,'LOCCS Import'!A$19:N$200,2,)</f>
        <v>1137808483</v>
      </c>
      <c r="C51" s="13">
        <f>VLOOKUP(A51,'LOCCS Import'!A$19:N$200,3,)</f>
        <v>1063640518.6</v>
      </c>
      <c r="D51" s="13">
        <f t="shared" si="0"/>
        <v>74167964.399999976</v>
      </c>
      <c r="E51" s="13">
        <f>VLOOKUP(A51,'LOCCS Import'!A$19:N$200,4,)</f>
        <v>21836975.329999998</v>
      </c>
      <c r="F51" s="13">
        <f>VLOOKUP(A51,'LOCCS Import'!A$19:N$200,5,)</f>
        <v>27381698</v>
      </c>
      <c r="G51" s="14">
        <f>VLOOKUP(A51,'LOCCS Import'!A$19:N$200,6,)</f>
        <v>2.71</v>
      </c>
      <c r="H51" s="14">
        <f>VLOOKUP(A51,'LOCCS Import'!A$19:N$200,7,)</f>
        <v>0.8</v>
      </c>
      <c r="I51" s="13">
        <f t="shared" si="1"/>
        <v>1819747.9441666666</v>
      </c>
      <c r="J51" s="15">
        <f t="shared" si="2"/>
        <v>4</v>
      </c>
      <c r="K51" s="13">
        <f t="shared" si="3"/>
        <v>66888972.623333313</v>
      </c>
      <c r="L51" s="13">
        <f t="shared" si="4"/>
        <v>4851142.099999994</v>
      </c>
      <c r="M51" s="13" t="str">
        <f t="shared" si="5"/>
        <v>on track</v>
      </c>
      <c r="N51" s="197">
        <v>43922</v>
      </c>
      <c r="O51" s="16">
        <f t="shared" si="6"/>
        <v>46113</v>
      </c>
      <c r="P51" s="13">
        <f ca="1">ROUND(C51-(VLOOKUP(A51,INDIRECT('LOCCS Import'!$E$3&amp;"$A$3"):INDIRECT('LOCCS Import'!$E$3&amp;"$O$54"),3,)),2)</f>
        <v>977918.68</v>
      </c>
      <c r="Q51" s="242" t="e">
        <f>#VALUE!</f>
        <v>#VALUE!</v>
      </c>
    </row>
    <row r="52" spans="1:17" x14ac:dyDescent="0.2">
      <c r="A52" s="4" t="s">
        <v>64</v>
      </c>
      <c r="B52" s="13">
        <f>VLOOKUP(A52,'LOCCS Import'!A$19:N$200,2,)</f>
        <v>124445693.39</v>
      </c>
      <c r="C52" s="13">
        <f>VLOOKUP(A52,'LOCCS Import'!A$19:N$200,3,)</f>
        <v>111932621.37</v>
      </c>
      <c r="D52" s="18">
        <f t="shared" si="0"/>
        <v>12513072.019999996</v>
      </c>
      <c r="E52" s="13">
        <f>VLOOKUP(A52,'LOCCS Import'!A$19:N$200,4,)</f>
        <v>5976251.7800000003</v>
      </c>
      <c r="F52" s="13">
        <f>VLOOKUP(A52,'LOCCS Import'!A$19:N$200,5,)</f>
        <v>3545933</v>
      </c>
      <c r="G52" s="14">
        <f>VLOOKUP(A52,'LOCCS Import'!A$19:N$200,6,)</f>
        <v>3.53</v>
      </c>
      <c r="H52" s="14">
        <f>VLOOKUP(A52,'LOCCS Import'!A$19:N$200,7,)</f>
        <v>1.69</v>
      </c>
      <c r="I52" s="18">
        <f t="shared" si="1"/>
        <v>498020.98166666669</v>
      </c>
      <c r="J52" s="15">
        <f t="shared" si="2"/>
        <v>1</v>
      </c>
      <c r="K52" s="18">
        <f t="shared" si="3"/>
        <v>12015051.038333328</v>
      </c>
      <c r="L52" s="18">
        <f t="shared" si="4"/>
        <v>5421206.0199999958</v>
      </c>
      <c r="M52" s="18">
        <f t="shared" si="5"/>
        <v>3648239.5199999958</v>
      </c>
      <c r="N52" s="198">
        <v>43831</v>
      </c>
      <c r="O52" s="16">
        <f t="shared" si="6"/>
        <v>46023</v>
      </c>
      <c r="P52" s="13">
        <f ca="1">ROUND(C52-(VLOOKUP(A52,INDIRECT('LOCCS Import'!$E$3&amp;"$A$3"):INDIRECT('LOCCS Import'!$E$3&amp;"$O$54"),3,)),2)</f>
        <v>197345.53</v>
      </c>
      <c r="Q52" s="242" t="e">
        <f>#VALUE!</f>
        <v>#VALUE!</v>
      </c>
    </row>
    <row r="53" spans="1:17" x14ac:dyDescent="0.25">
      <c r="A53" s="36" t="s">
        <v>65</v>
      </c>
      <c r="B53" s="33">
        <f>VLOOKUP(A53,'LOCCS Import'!A$19:N$200,2,)</f>
        <v>44484767226.400002</v>
      </c>
      <c r="C53" s="13">
        <f>VLOOKUP(A53,'LOCCS Import'!A$19:N$200,3,)</f>
        <v>41271730007.389999</v>
      </c>
      <c r="D53" s="33">
        <f t="shared" si="0"/>
        <v>3213037219.0100021</v>
      </c>
      <c r="E53" s="13">
        <f>VLOOKUP(A53,'LOCCS Import'!A$19:N$200,4,)</f>
        <v>958281581.30999994</v>
      </c>
      <c r="F53" s="13">
        <f>VLOOKUP(A53,'LOCCS Import'!A$19:N$200,5,)</f>
        <v>984102596</v>
      </c>
      <c r="G53" s="14">
        <f>VLOOKUP(A53,'LOCCS Import'!A$19:N$200,6,)</f>
        <v>3.26</v>
      </c>
      <c r="H53" s="14">
        <f>VLOOKUP(A53,'LOCCS Import'!A$19:N$200,7,)</f>
        <v>0.97</v>
      </c>
      <c r="I53" s="33">
        <f t="shared" si="1"/>
        <v>79856798.442499995</v>
      </c>
      <c r="J53" s="34"/>
      <c r="K53" s="35"/>
      <c r="L53" s="35"/>
      <c r="M53" s="35"/>
      <c r="N53" s="35"/>
      <c r="O53" s="35"/>
      <c r="P53" s="33">
        <f ca="1">SUM(P3:P52)</f>
        <v>85040914.800000012</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f>COUNTIF(G3:G52,"&gt;2.5")</f>
        <v>37</v>
      </c>
      <c r="H56" s="25"/>
    </row>
    <row r="57" spans="1:17" ht="27" customHeight="1" thickBot="1" x14ac:dyDescent="0.3">
      <c r="D57" s="248" t="s">
        <v>67</v>
      </c>
      <c r="E57" s="249"/>
      <c r="F57" s="249"/>
      <c r="G57" s="27"/>
      <c r="H57" s="28">
        <f>COUNTIF(H3:H52,"&lt;1")</f>
        <v>30</v>
      </c>
    </row>
  </sheetData>
  <mergeCells count="2">
    <mergeCell ref="D56:F56"/>
    <mergeCell ref="D57:F57"/>
  </mergeCells>
  <conditionalFormatting sqref="G54">
    <cfRule type="cellIs" dxfId="97" priority="13" stopIfTrue="1" operator="greaterThan">
      <formula>2.5</formula>
    </cfRule>
    <cfRule type="cellIs" dxfId="96" priority="14" stopIfTrue="1" operator="between">
      <formula>2.01</formula>
      <formula>2.5</formula>
    </cfRule>
  </conditionalFormatting>
  <conditionalFormatting sqref="H3:H53">
    <cfRule type="cellIs" dxfId="95" priority="12" stopIfTrue="1" operator="lessThan">
      <formula>1</formula>
    </cfRule>
  </conditionalFormatting>
  <conditionalFormatting sqref="G3:G53">
    <cfRule type="cellIs" dxfId="94" priority="10" stopIfTrue="1" operator="greaterThan">
      <formula>2.5</formula>
    </cfRule>
    <cfRule type="cellIs" dxfId="93" priority="11" stopIfTrue="1" operator="between">
      <formula>2.01</formula>
      <formula>2.5</formula>
    </cfRule>
  </conditionalFormatting>
  <conditionalFormatting sqref="K3:K52">
    <cfRule type="cellIs" dxfId="92" priority="8" stopIfTrue="1" operator="greaterThan">
      <formula>$F3*2.5</formula>
    </cfRule>
    <cfRule type="cellIs" dxfId="91" priority="9" stopIfTrue="1" operator="between">
      <formula>$F3*2</formula>
      <formula>$F3*2.5</formula>
    </cfRule>
  </conditionalFormatting>
  <conditionalFormatting sqref="G54">
    <cfRule type="cellIs" dxfId="90" priority="6" stopIfTrue="1" operator="greaterThan">
      <formula>2.5</formula>
    </cfRule>
    <cfRule type="cellIs" dxfId="89" priority="7" stopIfTrue="1" operator="between">
      <formula>2.01</formula>
      <formula>2.5</formula>
    </cfRule>
  </conditionalFormatting>
  <conditionalFormatting sqref="H3:H53">
    <cfRule type="cellIs" dxfId="88" priority="5" stopIfTrue="1" operator="lessThan">
      <formula>1</formula>
    </cfRule>
  </conditionalFormatting>
  <conditionalFormatting sqref="G3:G53">
    <cfRule type="cellIs" dxfId="87" priority="3" stopIfTrue="1" operator="greaterThan">
      <formula>2.5</formula>
    </cfRule>
    <cfRule type="cellIs" dxfId="86" priority="4" stopIfTrue="1" operator="between">
      <formula>2.01</formula>
      <formula>2.5</formula>
    </cfRule>
  </conditionalFormatting>
  <conditionalFormatting sqref="K3:K52">
    <cfRule type="cellIs" dxfId="85" priority="1" stopIfTrue="1" operator="greaterThan">
      <formula>$F3*2.5</formula>
    </cfRule>
    <cfRule type="cellIs" dxfId="84"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514E7-468B-4681-AE70-4DF63F15FB7F}">
  <sheetPr codeName="Sheet8">
    <tabColor indexed="35"/>
    <pageSetUpPr autoPageBreaks="0" fitToPage="1"/>
  </sheetPr>
  <dimension ref="A1:Z10"/>
  <sheetViews>
    <sheetView zoomScaleNormal="100" workbookViewId="0">
      <selection activeCell="AC6" sqref="AC6"/>
    </sheetView>
  </sheetViews>
  <sheetFormatPr defaultColWidth="9.1796875" defaultRowHeight="13" x14ac:dyDescent="0.3"/>
  <cols>
    <col min="1" max="1" width="13.1796875" style="48" customWidth="1"/>
    <col min="2" max="9" width="7.1796875" style="48" customWidth="1"/>
    <col min="10" max="10" width="7.81640625" style="48" customWidth="1"/>
    <col min="11" max="21" width="7.1796875" style="48" customWidth="1"/>
    <col min="22" max="22" width="7.26953125" style="48" customWidth="1"/>
    <col min="23" max="25" width="7.1796875" style="48" customWidth="1"/>
    <col min="26" max="26" width="10.54296875" style="48" bestFit="1" customWidth="1"/>
    <col min="27" max="27" width="15.453125" style="48" bestFit="1" customWidth="1"/>
    <col min="28" max="16384" width="9.1796875" style="48"/>
  </cols>
  <sheetData>
    <row r="1" spans="1:26" s="49" customFormat="1" ht="15.5" x14ac:dyDescent="0.35">
      <c r="A1" s="195" t="s">
        <v>68</v>
      </c>
      <c r="G1" s="74" t="s">
        <v>272</v>
      </c>
      <c r="H1" s="254">
        <v>987900000</v>
      </c>
      <c r="I1" s="255"/>
      <c r="J1" s="255"/>
      <c r="K1" s="102"/>
      <c r="L1" s="102"/>
      <c r="M1" s="103"/>
      <c r="S1" s="74" t="s">
        <v>293</v>
      </c>
      <c r="T1" s="254">
        <v>987900000</v>
      </c>
      <c r="U1" s="255"/>
      <c r="V1" s="255"/>
      <c r="W1" s="102"/>
      <c r="X1" s="102"/>
      <c r="Y1" s="103"/>
    </row>
    <row r="2" spans="1:26" s="49" customFormat="1" x14ac:dyDescent="0.3">
      <c r="A2" s="188"/>
      <c r="G2" s="74" t="str">
        <f>"Expended in FY "&amp;CurrentFY-1&amp;":"</f>
        <v>Expended in FY 2025:</v>
      </c>
      <c r="H2" s="252">
        <f ca="1">INDIRECT("'Sep''"&amp;RIGHT(CurrentFY-1,2)&amp;"'!P53")+INDIRECT("'Aug''"&amp;RIGHT(CurrentFY-1,2)&amp;"'!P53")+INDIRECT("'Jul''"&amp;RIGHT(CurrentFY-1,2)&amp;"'!P53")+INDIRECT("'Jun''"&amp;RIGHT(CurrentFY-1,2)&amp;"'!P53")+INDIRECT("'May''"&amp;RIGHT(CurrentFY-1,2)&amp;"'!P53")+INDIRECT("'Apr''"&amp;RIGHT(CurrentFY-1,2)&amp;"'!P53")+INDIRECT("'Mar''"&amp;RIGHT(CurrentFY-1,2)&amp;"'!P53")+INDIRECT("'Feb''"&amp;RIGHT(CurrentFY-1,2)&amp;"'!P53")+INDIRECT("'Jan''"&amp;RIGHT(CurrentFY-1,2)&amp;"'!P53")+INDIRECT("'Dec''"&amp;RIGHT(CurrentFY-2,2)&amp;"'!P53")+INDIRECT("'Nov''"&amp;RIGHT(CurrentFY-2,2)&amp;"'!P53")+INDIRECT("'Oct''"&amp;RIGHT(CurrentFY-2,2)&amp;"'!P53")</f>
        <v>1016591000.8099999</v>
      </c>
      <c r="I2" s="253"/>
      <c r="J2" s="253"/>
      <c r="K2" s="76"/>
      <c r="L2" s="250">
        <f ca="1">H2/H1</f>
        <v>1.0290424140196375</v>
      </c>
      <c r="M2" s="251"/>
      <c r="S2" s="74" t="str">
        <f>"FY "&amp;CurrentFY&amp;" Expended to date:"</f>
        <v>FY 2026 Expended to date:</v>
      </c>
      <c r="T2" s="256">
        <f ca="1">SUM(N10:Y10)</f>
        <v>965087531.33000016</v>
      </c>
      <c r="U2" s="257"/>
      <c r="V2" s="257"/>
      <c r="W2" s="77"/>
      <c r="X2" s="250">
        <f ca="1">T2/T1</f>
        <v>0.9769081195768804</v>
      </c>
      <c r="Y2" s="251"/>
    </row>
    <row r="3" spans="1:26" s="49" customFormat="1" x14ac:dyDescent="0.3">
      <c r="A3" s="188"/>
      <c r="H3" s="191"/>
      <c r="I3" s="191"/>
      <c r="J3" s="191"/>
      <c r="L3" s="192"/>
      <c r="M3" s="192"/>
      <c r="T3" s="191"/>
      <c r="U3" s="191"/>
      <c r="V3" s="191"/>
      <c r="W3" s="96"/>
      <c r="X3" s="192"/>
      <c r="Y3" s="192"/>
    </row>
    <row r="4" spans="1:26" s="193" customFormat="1" x14ac:dyDescent="0.3">
      <c r="B4" s="193" t="str">
        <f t="shared" ref="B4:L4" si="0">IF(LEFT(B5,3)="oct","FY'"&amp;TEXT((RIGHT(B5,2)+1),"00"),"")</f>
        <v>FY'25</v>
      </c>
      <c r="C4" s="193" t="str">
        <f t="shared" si="0"/>
        <v/>
      </c>
      <c r="D4" s="193" t="str">
        <f t="shared" si="0"/>
        <v/>
      </c>
      <c r="E4" s="193" t="str">
        <f t="shared" si="0"/>
        <v/>
      </c>
      <c r="F4" s="193" t="str">
        <f t="shared" si="0"/>
        <v/>
      </c>
      <c r="G4" s="193" t="str">
        <f t="shared" si="0"/>
        <v/>
      </c>
      <c r="H4" s="193" t="str">
        <f t="shared" si="0"/>
        <v/>
      </c>
      <c r="I4" s="193" t="str">
        <f t="shared" si="0"/>
        <v/>
      </c>
      <c r="J4" s="200"/>
      <c r="K4" s="193" t="str">
        <f t="shared" si="0"/>
        <v/>
      </c>
      <c r="L4" s="193" t="str">
        <f t="shared" si="0"/>
        <v/>
      </c>
      <c r="M4" s="193" t="str">
        <f>IF(LEFT(M5,3)="oct","FY'"&amp;TEXT((RIGHT(M5,2)+1),"00"),"")</f>
        <v/>
      </c>
      <c r="N4" s="193" t="str">
        <f t="shared" ref="N4:X4" si="1">IF(LEFT(N5,3)="oct","FY'"&amp;TEXT((RIGHT(N5,2)+1),"00"),"")</f>
        <v>FY'26</v>
      </c>
      <c r="O4" s="201"/>
      <c r="P4" s="193" t="str">
        <f t="shared" si="1"/>
        <v/>
      </c>
      <c r="Q4" s="193" t="str">
        <f t="shared" si="1"/>
        <v/>
      </c>
      <c r="R4" s="193" t="str">
        <f t="shared" si="1"/>
        <v/>
      </c>
      <c r="S4" s="193" t="str">
        <f t="shared" si="1"/>
        <v/>
      </c>
      <c r="T4" s="193" t="str">
        <f t="shared" si="1"/>
        <v/>
      </c>
      <c r="U4" s="193" t="str">
        <f t="shared" si="1"/>
        <v/>
      </c>
      <c r="V4" s="193" t="str">
        <f t="shared" si="1"/>
        <v/>
      </c>
      <c r="W4" s="193" t="str">
        <f t="shared" si="1"/>
        <v/>
      </c>
      <c r="X4" s="193" t="str">
        <f t="shared" si="1"/>
        <v/>
      </c>
      <c r="Y4" s="193" t="str">
        <f>IF(LEFT(Y5,3)="oct","FY'"&amp;TEXT((RIGHT(Y5,2)+1),"00"),"")</f>
        <v/>
      </c>
      <c r="Z4" s="203">
        <f>IF(OR(LEFT(Y5,3)="Oct",LEFT(Y5,3)="Nov",LEFT(Y5,3)="Dec"),RIGHT(Y5,2)+2001,IF(OR(LEFT(Y5,3)="Jan",LEFT(Y5,3)="Feb",LEFT(Y5,3)="Mar",LEFT(Y5,3)="Apr",LEFT(Y5,3)="May",LEFT(Y5,3)="Jun",LEFT(Y5,3)="Jul",LEFT(Y5,3)="Aug",LEFT(Y5,3)="Sep"),RIGHT(Y5,2)+2000,))</f>
        <v>2026</v>
      </c>
    </row>
    <row r="5" spans="1:26" s="49" customFormat="1" ht="15" customHeight="1" x14ac:dyDescent="0.3">
      <c r="A5" s="184"/>
      <c r="B5" s="184" t="str">
        <f>'States by Mo'!D2</f>
        <v>Oct'24</v>
      </c>
      <c r="C5" s="184" t="str">
        <f>'States by Mo'!E2</f>
        <v>Nov'24</v>
      </c>
      <c r="D5" s="184" t="str">
        <f>'States by Mo'!F2</f>
        <v>Dec'24</v>
      </c>
      <c r="E5" s="184" t="str">
        <f>'States by Mo'!G2</f>
        <v>Jan'25</v>
      </c>
      <c r="F5" s="184" t="str">
        <f>'States by Mo'!H2</f>
        <v>Feb'25</v>
      </c>
      <c r="G5" s="184" t="str">
        <f>'States by Mo'!I2</f>
        <v>Mar'25</v>
      </c>
      <c r="H5" s="184" t="str">
        <f>'States by Mo'!J2</f>
        <v>Apr'25</v>
      </c>
      <c r="I5" s="184" t="str">
        <f>'States by Mo'!K2</f>
        <v>May'25</v>
      </c>
      <c r="J5" s="184" t="str">
        <f>'States by Mo'!L2</f>
        <v>Jun'25</v>
      </c>
      <c r="K5" s="184" t="str">
        <f>'States by Mo'!M2</f>
        <v>Jul'25</v>
      </c>
      <c r="L5" s="184" t="str">
        <f>'States by Mo'!N2</f>
        <v>Aug'25</v>
      </c>
      <c r="M5" s="184" t="str">
        <f>'States by Mo'!O2</f>
        <v>Sep'25</v>
      </c>
      <c r="N5" s="184" t="str">
        <f>'States by Mo'!P2</f>
        <v>Oct'25</v>
      </c>
      <c r="O5" s="184" t="str">
        <f>'States by Mo'!Q2</f>
        <v>Nov'25</v>
      </c>
      <c r="P5" s="184" t="str">
        <f>'States by Mo'!R2</f>
        <v>Dec'25</v>
      </c>
      <c r="Q5" s="184" t="str">
        <f>'States by Mo'!S2</f>
        <v>Jan'26</v>
      </c>
      <c r="R5" s="184" t="str">
        <f>'States by Mo'!T2</f>
        <v>Feb'26</v>
      </c>
      <c r="S5" s="184" t="str">
        <f>'States by Mo'!U2</f>
        <v>Mar'26</v>
      </c>
      <c r="T5" s="184" t="str">
        <f>'States by Mo'!V2</f>
        <v>Apr'26</v>
      </c>
      <c r="U5" s="184" t="str">
        <f>'States by Mo'!W2</f>
        <v>May'26</v>
      </c>
      <c r="V5" s="184" t="str">
        <f>'States by Mo'!X2</f>
        <v>Jun'26</v>
      </c>
      <c r="W5" s="184" t="str">
        <f>'States by Mo'!Y2</f>
        <v>Jul'26</v>
      </c>
      <c r="X5" s="184" t="str">
        <f>'States by Mo'!Z2</f>
        <v>Aug'26</v>
      </c>
      <c r="Y5" s="184" t="str">
        <f>'States by Mo'!AA2</f>
        <v>Sep'26</v>
      </c>
      <c r="Z5" s="64"/>
    </row>
    <row r="6" spans="1:26" s="190" customFormat="1" ht="26" x14ac:dyDescent="0.25">
      <c r="A6" s="189" t="s">
        <v>74</v>
      </c>
      <c r="B6" s="220">
        <f ca="1">'States by Mo'!D53</f>
        <v>3.39</v>
      </c>
      <c r="C6" s="221">
        <f ca="1">'States by Mo'!E53</f>
        <v>3.43</v>
      </c>
      <c r="D6" s="221">
        <f ca="1">'States by Mo'!F53</f>
        <v>3.43</v>
      </c>
      <c r="E6" s="221">
        <f ca="1">'States by Mo'!G53</f>
        <v>3.43</v>
      </c>
      <c r="F6" s="221">
        <f ca="1">'States by Mo'!H53</f>
        <v>3.36</v>
      </c>
      <c r="G6" s="221">
        <f ca="1">'States by Mo'!I53</f>
        <v>3.29</v>
      </c>
      <c r="H6" s="221">
        <f ca="1">'States by Mo'!J53</f>
        <v>3.29</v>
      </c>
      <c r="I6" s="221">
        <f ca="1">'States by Mo'!K53</f>
        <v>3.16</v>
      </c>
      <c r="J6" s="221">
        <f ca="1">'States by Mo'!L53</f>
        <v>3.08</v>
      </c>
      <c r="K6" s="221">
        <f ca="1">'States by Mo'!M53</f>
        <v>3</v>
      </c>
      <c r="L6" s="221">
        <f ca="1">'States by Mo'!N53</f>
        <v>2.89</v>
      </c>
      <c r="M6" s="221">
        <f ca="1">'States by Mo'!O53</f>
        <v>3.56</v>
      </c>
      <c r="N6" s="221">
        <f ca="1">'States by Mo'!P53</f>
        <v>3.46</v>
      </c>
      <c r="O6" s="221">
        <f ca="1">'States by Mo'!Q53</f>
        <v>3.38</v>
      </c>
      <c r="P6" s="221">
        <f ca="1">'States by Mo'!R53</f>
        <v>3.39</v>
      </c>
      <c r="Q6" s="221">
        <f ca="1">'States by Mo'!S53</f>
        <v>3.42</v>
      </c>
      <c r="R6" s="221">
        <f ca="1">'States by Mo'!T53</f>
        <v>3.37</v>
      </c>
      <c r="S6" s="221">
        <f ca="1">'States by Mo'!U53</f>
        <v>3.32</v>
      </c>
      <c r="T6" s="221">
        <f ca="1">'States by Mo'!V53</f>
        <v>3.25</v>
      </c>
      <c r="U6" s="221">
        <f ca="1">'States by Mo'!W53</f>
        <v>3.18</v>
      </c>
      <c r="V6" s="221">
        <f ca="1">'States by Mo'!X53</f>
        <v>3.07</v>
      </c>
      <c r="W6" s="221">
        <f ca="1">'States by Mo'!Y53</f>
        <v>2.98</v>
      </c>
      <c r="X6" s="221">
        <f ca="1">'States by Mo'!Z53</f>
        <v>2.9</v>
      </c>
      <c r="Y6" s="222">
        <f>'States by Mo'!AA53</f>
        <v>3.26</v>
      </c>
    </row>
    <row r="7" spans="1:26" s="190" customFormat="1" ht="26" x14ac:dyDescent="0.25">
      <c r="A7" s="189" t="s">
        <v>75</v>
      </c>
      <c r="B7" s="223">
        <f ca="1">'States by Mo'!D54</f>
        <v>3.3420862042600024</v>
      </c>
      <c r="C7" s="224">
        <f ca="1">'States by Mo'!E54</f>
        <v>3.3815534093399964</v>
      </c>
      <c r="D7" s="224">
        <f ca="1">'States by Mo'!F54</f>
        <v>3.3741574572399977</v>
      </c>
      <c r="E7" s="224">
        <f ca="1">'States by Mo'!G54</f>
        <v>3.3645987558799972</v>
      </c>
      <c r="F7" s="224">
        <f ca="1">'States by Mo'!H54</f>
        <v>3.2962625077299958</v>
      </c>
      <c r="G7" s="224">
        <f ca="1">'States by Mo'!I54</f>
        <v>3.2321113471699983</v>
      </c>
      <c r="H7" s="224">
        <f ca="1">'States by Mo'!J54</f>
        <v>3.2321113471699983</v>
      </c>
      <c r="I7" s="224">
        <f ca="1">'States by Mo'!K54</f>
        <v>3.1002064133799974</v>
      </c>
      <c r="J7" s="224">
        <f ca="1">'States by Mo'!L54</f>
        <v>3.0236046714599989</v>
      </c>
      <c r="K7" s="224">
        <f ca="1">'States by Mo'!M54</f>
        <v>2.9417699510599977</v>
      </c>
      <c r="L7" s="224">
        <f ca="1">'States by Mo'!N54</f>
        <v>2.8397359367600021</v>
      </c>
      <c r="M7" s="224">
        <f ca="1">'States by Mo'!O54</f>
        <v>3.5019987663800047</v>
      </c>
      <c r="N7" s="224">
        <f ca="1">'States by Mo'!P54</f>
        <v>3.4070424760100022</v>
      </c>
      <c r="O7" s="224">
        <f ca="1">'States by Mo'!Q54</f>
        <v>3.3262852529200058</v>
      </c>
      <c r="P7" s="224">
        <f ca="1">'States by Mo'!R54</f>
        <v>3.3412468479300004</v>
      </c>
      <c r="Q7" s="224">
        <f ca="1">'States by Mo'!S54</f>
        <v>3.3678735871399992</v>
      </c>
      <c r="R7" s="224">
        <f ca="1">'States by Mo'!T54</f>
        <v>3.3117770370900041</v>
      </c>
      <c r="S7" s="224">
        <f ca="1">'States by Mo'!U54</f>
        <v>3.2669811682799987</v>
      </c>
      <c r="T7" s="224">
        <f ca="1">'States by Mo'!V54</f>
        <v>3.1975689375400007</v>
      </c>
      <c r="U7" s="224">
        <f ca="1">'States by Mo'!W54</f>
        <v>3.1290644247600023</v>
      </c>
      <c r="V7" s="224">
        <f ca="1">'States by Mo'!X54</f>
        <v>3.0199945821700056</v>
      </c>
      <c r="W7" s="224">
        <f ca="1">'States by Mo'!Y54</f>
        <v>2.9352878620699996</v>
      </c>
      <c r="X7" s="224">
        <f ca="1">'States by Mo'!Z54</f>
        <v>2.8497317438500063</v>
      </c>
      <c r="Y7" s="225">
        <f>'States by Mo'!AA54</f>
        <v>3.2130372190100021</v>
      </c>
    </row>
    <row r="8" spans="1:26" s="190" customFormat="1" ht="26" x14ac:dyDescent="0.25">
      <c r="A8" s="189" t="s">
        <v>191</v>
      </c>
      <c r="B8" s="226">
        <f ca="1">'States by Mo'!AG53</f>
        <v>0.93</v>
      </c>
      <c r="C8" s="227">
        <f ca="1">'States by Mo'!AH53</f>
        <v>0.94</v>
      </c>
      <c r="D8" s="227">
        <f ca="1">'States by Mo'!AI53</f>
        <v>0.93</v>
      </c>
      <c r="E8" s="227">
        <f ca="1">'States by Mo'!AJ53</f>
        <v>0.96</v>
      </c>
      <c r="F8" s="227">
        <f ca="1">'States by Mo'!AK53</f>
        <v>0.96</v>
      </c>
      <c r="G8" s="227">
        <f ca="1">'States by Mo'!AL53</f>
        <v>0.96</v>
      </c>
      <c r="H8" s="227">
        <f ca="1">'States by Mo'!AM53</f>
        <v>0.96</v>
      </c>
      <c r="I8" s="227">
        <f ca="1">'States by Mo'!AN53</f>
        <v>0.94</v>
      </c>
      <c r="J8" s="227">
        <f ca="1">'States by Mo'!AO53</f>
        <v>0.93</v>
      </c>
      <c r="K8" s="227">
        <f ca="1">'States by Mo'!AP53</f>
        <v>0.94</v>
      </c>
      <c r="L8" s="227">
        <f ca="1">'States by Mo'!AQ53</f>
        <v>0.95</v>
      </c>
      <c r="M8" s="227">
        <f ca="1">'States by Mo'!AR53</f>
        <v>0.97</v>
      </c>
      <c r="N8" s="227">
        <f ca="1">'States by Mo'!AS53</f>
        <v>0.98</v>
      </c>
      <c r="O8" s="227">
        <f ca="1">'States by Mo'!AT53</f>
        <v>0.99</v>
      </c>
      <c r="P8" s="227">
        <f ca="1">'States by Mo'!AU53</f>
        <v>0.98</v>
      </c>
      <c r="Q8" s="227">
        <f ca="1">'States by Mo'!AV53</f>
        <v>0.94</v>
      </c>
      <c r="R8" s="227">
        <f ca="1">'States by Mo'!AW53</f>
        <v>0.94</v>
      </c>
      <c r="S8" s="227">
        <f ca="1">'States by Mo'!AX53</f>
        <v>0.96</v>
      </c>
      <c r="T8" s="227">
        <f ca="1">'States by Mo'!AY53</f>
        <v>0.96</v>
      </c>
      <c r="U8" s="227">
        <f ca="1">'States by Mo'!AZ53</f>
        <v>0.96</v>
      </c>
      <c r="V8" s="227">
        <f ca="1">'States by Mo'!BA53</f>
        <v>1</v>
      </c>
      <c r="W8" s="227">
        <f ca="1">'States by Mo'!BB53</f>
        <v>1</v>
      </c>
      <c r="X8" s="227">
        <f ca="1">'States by Mo'!BC53</f>
        <v>0.99</v>
      </c>
      <c r="Y8" s="228">
        <f>'States by Mo'!BD53</f>
        <v>0.97</v>
      </c>
    </row>
    <row r="9" spans="1:26" s="49" customFormat="1" x14ac:dyDescent="0.3">
      <c r="B9" s="202">
        <f ca="1">INDIRECT('LOCCS Import'!AA3&amp;"P53")</f>
        <v>85029933.640000001</v>
      </c>
      <c r="C9" s="202">
        <f ca="1">INDIRECT('LOCCS Import'!Z3&amp;"P53")</f>
        <v>70821787.919999987</v>
      </c>
      <c r="D9" s="202">
        <f ca="1">INDIRECT('LOCCS Import'!Y3&amp;"P53")</f>
        <v>85217815.099999994</v>
      </c>
      <c r="E9" s="202">
        <f ca="1">INDIRECT('LOCCS Import'!X3&amp;"P53")</f>
        <v>97047108.360000014</v>
      </c>
      <c r="F9" s="202">
        <f ca="1">INDIRECT('LOCCS Import'!W3&amp;"P53")</f>
        <v>68336248.150000021</v>
      </c>
      <c r="G9" s="202">
        <f ca="1">INDIRECT('LOCCS Import'!V3&amp;"P53")</f>
        <v>64151160.559999987</v>
      </c>
      <c r="H9" s="202">
        <f ca="1">INDIRECT('LOCCS Import'!U3&amp;"P53")</f>
        <v>64151160.559999987</v>
      </c>
      <c r="I9" s="202">
        <f ca="1">INDIRECT('LOCCS Import'!T3&amp;"P53")</f>
        <v>131904933.79000001</v>
      </c>
      <c r="J9" s="202">
        <f ca="1">INDIRECT('LOCCS Import'!S3&amp;"P53")</f>
        <v>76601741.919999987</v>
      </c>
      <c r="K9" s="202">
        <f ca="1">INDIRECT('LOCCS Import'!R3&amp;"P53")</f>
        <v>81834720.400000006</v>
      </c>
      <c r="L9" s="202">
        <f ca="1">INDIRECT('LOCCS Import'!Q3&amp;"P53")</f>
        <v>102034014.30000001</v>
      </c>
      <c r="M9" s="202">
        <f ca="1">INDIRECT('LOCCS Import'!P3&amp;"P53")</f>
        <v>89460376.109999999</v>
      </c>
      <c r="N9" s="202">
        <f ca="1">INDIRECT('LOCCS Import'!O3&amp;"P53")</f>
        <v>94956290.37000002</v>
      </c>
      <c r="O9" s="202">
        <f ca="1">INDIRECT('LOCCS Import'!N3&amp;"P53")</f>
        <v>80757223.090000004</v>
      </c>
      <c r="P9" s="202">
        <f ca="1">INDIRECT('LOCCS Import'!M3&amp;"P53")</f>
        <v>74966833.989999995</v>
      </c>
      <c r="Q9" s="202">
        <f ca="1">INDIRECT('LOCCS Import'!L3&amp;"P53")</f>
        <v>54541771.789999992</v>
      </c>
      <c r="R9" s="202">
        <f ca="1">INDIRECT('LOCCS Import'!K3&amp;"P53")</f>
        <v>79856473.049999982</v>
      </c>
      <c r="S9" s="202">
        <f ca="1">INDIRECT('LOCCS Import'!J3&amp;"P53")</f>
        <v>77718599.810000017</v>
      </c>
      <c r="T9" s="202">
        <f ca="1">INDIRECT('LOCCS Import'!I3&amp;"P53")</f>
        <v>69412230.74000001</v>
      </c>
      <c r="U9" s="202">
        <f ca="1">INDIRECT('LOCCS Import'!H3&amp;"P53")</f>
        <v>68504512.779999986</v>
      </c>
      <c r="V9" s="202">
        <f ca="1">INDIRECT('LOCCS Import'!G3&amp;"P53")</f>
        <v>109069842.59000002</v>
      </c>
      <c r="W9" s="202">
        <f ca="1">INDIRECT('LOCCS Import'!F3&amp;"P53")</f>
        <v>84706720.099999979</v>
      </c>
      <c r="X9" s="202">
        <f ca="1">INDIRECT('LOCCS Import'!E3&amp;"P53")</f>
        <v>85556118.220000014</v>
      </c>
      <c r="Y9" s="202">
        <f ca="1">INDIRECT('LOCCS Import'!E1&amp;"P53")</f>
        <v>85040914.800000012</v>
      </c>
    </row>
    <row r="10" spans="1:26" x14ac:dyDescent="0.3">
      <c r="N10" s="204">
        <f ca="1">IF(LEFT(N5,3)="oct",SUM(N9:Y9),0)</f>
        <v>965087531.33000016</v>
      </c>
      <c r="O10" s="204">
        <f>IF(LEFT(O5,3)="oct",SUM(O9:Y9),0)</f>
        <v>0</v>
      </c>
      <c r="P10" s="204">
        <f>IF(LEFT(P5,3)="oct",SUM(P9:Y9),0)</f>
        <v>0</v>
      </c>
      <c r="Q10" s="204">
        <f>IF(LEFT(Q5,3)="oct",SUM(Q9:Y9),0)</f>
        <v>0</v>
      </c>
      <c r="R10" s="204">
        <f>IF(LEFT(R5,3)="oct",SUM(R9:Y9),0)</f>
        <v>0</v>
      </c>
      <c r="S10" s="204">
        <f>IF(LEFT(S5,3)="oct",SUM(S9:Y9),0)</f>
        <v>0</v>
      </c>
      <c r="T10" s="204">
        <f>IF(LEFT(T5,3)="oct",SUM(T9:Y9),0)</f>
        <v>0</v>
      </c>
      <c r="U10" s="204">
        <f>IF(LEFT(U5,3)="oct",SUM(U9:Y9),0)</f>
        <v>0</v>
      </c>
      <c r="V10" s="204">
        <f>IF(LEFT(V5,3)="oct",SUM(V9:Y9),0)</f>
        <v>0</v>
      </c>
      <c r="W10" s="204">
        <f>IF(LEFT(W5,3)="oct",SUM(W9:Y9),0)</f>
        <v>0</v>
      </c>
      <c r="X10" s="204">
        <f>IF(LEFT(X5,3)="oct",SUM(X9:Y9),0)</f>
        <v>0</v>
      </c>
      <c r="Y10" s="204">
        <f>IF(LEFT(Y5,3)="oct",Y9,0)</f>
        <v>0</v>
      </c>
    </row>
  </sheetData>
  <mergeCells count="6">
    <mergeCell ref="X2:Y2"/>
    <mergeCell ref="H2:J2"/>
    <mergeCell ref="H1:J1"/>
    <mergeCell ref="L2:M2"/>
    <mergeCell ref="T1:V1"/>
    <mergeCell ref="T2:V2"/>
  </mergeCells>
  <phoneticPr fontId="0" type="noConversion"/>
  <conditionalFormatting sqref="L2:M3 X2:Y3">
    <cfRule type="cellIs" dxfId="83" priority="2" stopIfTrue="1" operator="lessThan">
      <formula>1</formula>
    </cfRule>
    <cfRule type="cellIs" dxfId="82" priority="3" stopIfTrue="1" operator="greaterThanOrEqual">
      <formula>1</formula>
    </cfRule>
  </conditionalFormatting>
  <printOptions horizontalCentered="1" verticalCentered="1"/>
  <pageMargins left="0.5" right="0.5" top="1" bottom="1" header="0.5" footer="0.5"/>
  <pageSetup scale="64" orientation="landscape" horizontalDpi="300" verticalDpi="300" r:id="rId1"/>
  <headerFooter alignWithMargins="0">
    <oddHeader>&amp;CLOCCS
State Allocation of Expenditure Report for CPD Block Grant Programs</oddHeader>
  </headerFooter>
  <drawing r:id="rId2"/>
  <legacyDrawing r:id="rId3"/>
  <oleObjects>
    <mc:AlternateContent xmlns:mc="http://schemas.openxmlformats.org/markup-compatibility/2006">
      <mc:Choice Requires="x14">
        <oleObject progId="word.document.8" shapeId="2050" r:id="rId4">
          <objectPr defaultSize="0" autoPict="0" r:id="rId5">
            <anchor moveWithCells="1">
              <from>
                <xdr:col>0</xdr:col>
                <xdr:colOff>361950</xdr:colOff>
                <xdr:row>55</xdr:row>
                <xdr:rowOff>133350</xdr:rowOff>
              </from>
              <to>
                <xdr:col>4</xdr:col>
                <xdr:colOff>393700</xdr:colOff>
                <xdr:row>61</xdr:row>
                <xdr:rowOff>133350</xdr:rowOff>
              </to>
            </anchor>
          </objectPr>
        </oleObject>
      </mc:Choice>
      <mc:Fallback>
        <oleObject progId="word.document.8" shapeId="2050" r:id="rId4"/>
      </mc:Fallback>
    </mc:AlternateContent>
  </oleObject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E5474-C972-49D3-8F4C-EFD3F576C833}">
  <sheetPr codeName="Sheet7">
    <tabColor rgb="FF00FF00"/>
    <pageSetUpPr autoPageBreaks="0" fitToPage="1"/>
  </sheetPr>
  <dimension ref="A1:Z140"/>
  <sheetViews>
    <sheetView zoomScale="80" zoomScaleNormal="80" workbookViewId="0">
      <selection activeCell="A3" sqref="A3"/>
    </sheetView>
  </sheetViews>
  <sheetFormatPr defaultColWidth="9.1796875" defaultRowHeight="14.5" x14ac:dyDescent="0.35"/>
  <cols>
    <col min="1" max="1" width="13.1796875" style="101" customWidth="1"/>
    <col min="2" max="25" width="6.1796875" style="101" customWidth="1"/>
    <col min="26" max="26" width="3.7265625" style="101" customWidth="1"/>
    <col min="27" max="16384" width="9.1796875" style="101"/>
  </cols>
  <sheetData>
    <row r="1" spans="1:25" x14ac:dyDescent="0.35">
      <c r="A1" s="179" t="s">
        <v>76</v>
      </c>
    </row>
    <row r="2" spans="1:25" ht="25.5" customHeight="1" x14ac:dyDescent="0.35">
      <c r="A2" s="185" t="s">
        <v>89</v>
      </c>
      <c r="C2" s="177" t="s">
        <v>78</v>
      </c>
      <c r="D2" s="180"/>
      <c r="E2" s="180"/>
      <c r="F2" s="180"/>
      <c r="G2" s="180"/>
      <c r="H2" s="264">
        <f>VLOOKUP(A3,template!A3:P53,15)</f>
        <v>46204</v>
      </c>
      <c r="I2" s="263"/>
      <c r="K2" s="178" t="s">
        <v>79</v>
      </c>
      <c r="L2" s="181"/>
      <c r="M2" s="181"/>
      <c r="N2" s="181"/>
      <c r="O2" s="258">
        <f>VLOOKUP(A3,template!A3:P53,6,)</f>
        <v>2796424</v>
      </c>
      <c r="P2" s="259"/>
      <c r="Q2" s="260"/>
      <c r="T2" s="177" t="s">
        <v>80</v>
      </c>
      <c r="U2" s="181"/>
      <c r="V2" s="181"/>
      <c r="W2" s="181"/>
      <c r="X2" s="187">
        <f ca="1">VLOOKUP(A3,'States by Mo'!A3:AE52,31,FALSE)</f>
        <v>1</v>
      </c>
    </row>
    <row r="3" spans="1:25" ht="26.25" customHeight="1" x14ac:dyDescent="0.35">
      <c r="A3" s="186" t="str">
        <f>HLOOKUP(UPPER($A$2),'LOCCS Import'!BD2:DA3,2,FALSE)</f>
        <v>DELAWARE</v>
      </c>
      <c r="C3" s="177" t="s">
        <v>241</v>
      </c>
      <c r="D3" s="180"/>
      <c r="E3" s="180"/>
      <c r="F3" s="180"/>
      <c r="G3" s="180"/>
      <c r="H3" s="264" t="e">
        <f>VLOOKUP(A3,template!A2:Q52,17,FALSE)</f>
        <v>#VALUE!</v>
      </c>
      <c r="I3" s="263"/>
      <c r="K3" s="178" t="s">
        <v>81</v>
      </c>
      <c r="L3" s="180"/>
      <c r="M3" s="180"/>
      <c r="N3" s="180"/>
      <c r="O3" s="261">
        <f ca="1">VLOOKUP(A3,template!A3:P53,16)</f>
        <v>413274.38</v>
      </c>
      <c r="P3" s="262"/>
      <c r="Q3" s="263"/>
      <c r="T3" s="177" t="s">
        <v>190</v>
      </c>
      <c r="U3" s="181"/>
      <c r="V3" s="181"/>
      <c r="W3" s="181"/>
      <c r="X3" s="187">
        <f ca="1">VLOOKUP(A3,'States by Mo'!A3:BF52,58,FALSE)</f>
        <v>44</v>
      </c>
    </row>
    <row r="4" spans="1:25" s="120" customFormat="1" x14ac:dyDescent="0.35">
      <c r="B4" s="183"/>
      <c r="N4" s="183"/>
    </row>
    <row r="5" spans="1:25" s="49" customFormat="1" ht="15.75" customHeight="1" x14ac:dyDescent="0.3">
      <c r="A5" s="214"/>
      <c r="B5" s="217" t="str">
        <f>'States by Mo'!D2</f>
        <v>Oct'24</v>
      </c>
      <c r="C5" s="218" t="str">
        <f>'States by Mo'!E2</f>
        <v>Nov'24</v>
      </c>
      <c r="D5" s="218" t="str">
        <f>'States by Mo'!F2</f>
        <v>Dec'24</v>
      </c>
      <c r="E5" s="218" t="str">
        <f>'States by Mo'!G2</f>
        <v>Jan'25</v>
      </c>
      <c r="F5" s="218" t="str">
        <f>'States by Mo'!H2</f>
        <v>Feb'25</v>
      </c>
      <c r="G5" s="218" t="str">
        <f>'States by Mo'!I2</f>
        <v>Mar'25</v>
      </c>
      <c r="H5" s="218" t="str">
        <f>'States by Mo'!J2</f>
        <v>Apr'25</v>
      </c>
      <c r="I5" s="218" t="str">
        <f>'States by Mo'!K2</f>
        <v>May'25</v>
      </c>
      <c r="J5" s="218" t="str">
        <f>'States by Mo'!L2</f>
        <v>Jun'25</v>
      </c>
      <c r="K5" s="218" t="str">
        <f>'States by Mo'!M2</f>
        <v>Jul'25</v>
      </c>
      <c r="L5" s="218" t="str">
        <f>'States by Mo'!N2</f>
        <v>Aug'25</v>
      </c>
      <c r="M5" s="218" t="str">
        <f>'States by Mo'!O2</f>
        <v>Sep'25</v>
      </c>
      <c r="N5" s="218" t="str">
        <f>'States by Mo'!P2</f>
        <v>Oct'25</v>
      </c>
      <c r="O5" s="218" t="str">
        <f>'States by Mo'!Q2</f>
        <v>Nov'25</v>
      </c>
      <c r="P5" s="218" t="str">
        <f>'States by Mo'!R2</f>
        <v>Dec'25</v>
      </c>
      <c r="Q5" s="218" t="str">
        <f>'States by Mo'!S2</f>
        <v>Jan'26</v>
      </c>
      <c r="R5" s="218" t="str">
        <f>'States by Mo'!T2</f>
        <v>Feb'26</v>
      </c>
      <c r="S5" s="218" t="str">
        <f>'States by Mo'!U2</f>
        <v>Mar'26</v>
      </c>
      <c r="T5" s="218" t="str">
        <f>'States by Mo'!V2</f>
        <v>Apr'26</v>
      </c>
      <c r="U5" s="218" t="str">
        <f>'States by Mo'!W2</f>
        <v>May'26</v>
      </c>
      <c r="V5" s="218" t="str">
        <f>'States by Mo'!X2</f>
        <v>Jun'26</v>
      </c>
      <c r="W5" s="218" t="str">
        <f>'States by Mo'!Y2</f>
        <v>Jul'26</v>
      </c>
      <c r="X5" s="218" t="str">
        <f>'States by Mo'!Z2</f>
        <v>Aug'26</v>
      </c>
      <c r="Y5" s="219" t="str">
        <f>'States by Mo'!AA2</f>
        <v>Sep'26</v>
      </c>
    </row>
    <row r="6" spans="1:25" s="120" customFormat="1" ht="26.5" x14ac:dyDescent="0.35">
      <c r="A6" s="215" t="s">
        <v>74</v>
      </c>
      <c r="B6" s="208">
        <f ca="1">VLOOKUP($A$3,'States by Mo'!$A$3:$BF$52,4)</f>
        <v>0.6</v>
      </c>
      <c r="C6" s="209">
        <f ca="1">VLOOKUP($A$3,'States by Mo'!$A$3:$BF$52,5)</f>
        <v>0.48</v>
      </c>
      <c r="D6" s="209">
        <f ca="1">VLOOKUP($A$3,'States by Mo'!$A$3:$BF$52,6)</f>
        <v>1.44</v>
      </c>
      <c r="E6" s="209">
        <f ca="1">VLOOKUP($A$3,'States by Mo'!$A$3:$BF$52,7)</f>
        <v>1.35</v>
      </c>
      <c r="F6" s="209">
        <f ca="1">VLOOKUP($A$3,'States by Mo'!$A$3:$BF$52,8)</f>
        <v>1.33</v>
      </c>
      <c r="G6" s="209">
        <f ca="1">VLOOKUP($A$3,'States by Mo'!$A$3:$BF$52,9)</f>
        <v>1.32</v>
      </c>
      <c r="H6" s="209">
        <f ca="1">VLOOKUP($A$3,'States by Mo'!$A$3:$BF$52,10)</f>
        <v>1.32</v>
      </c>
      <c r="I6" s="209">
        <f ca="1">VLOOKUP($A$3,'States by Mo'!$A$3:$BF$52,11)</f>
        <v>1.17</v>
      </c>
      <c r="J6" s="209">
        <f ca="1">VLOOKUP($A$3,'States by Mo'!$A$3:$BF$52,12)</f>
        <v>0.91</v>
      </c>
      <c r="K6" s="209">
        <f ca="1">VLOOKUP($A$3,'States by Mo'!$A$3:$BF$52,13)</f>
        <v>0.83</v>
      </c>
      <c r="L6" s="209">
        <f ca="1">VLOOKUP($A$3,'States by Mo'!$A$3:$BF$52,14)</f>
        <v>0.73</v>
      </c>
      <c r="M6" s="209">
        <f ca="1">VLOOKUP($A$3,'States by Mo'!$A$3:$BF$52,15)</f>
        <v>0.68</v>
      </c>
      <c r="N6" s="209">
        <f ca="1">VLOOKUP($A$3,'States by Mo'!$A$3:$BF$52,16)</f>
        <v>0.68</v>
      </c>
      <c r="O6" s="209">
        <f ca="1">VLOOKUP($A$3,'States by Mo'!$A$3:$BF$52,17)</f>
        <v>0.67</v>
      </c>
      <c r="P6" s="209">
        <f ca="1">VLOOKUP($A$3,'States by Mo'!$A$3:$BF$52,18)</f>
        <v>0.46</v>
      </c>
      <c r="Q6" s="209">
        <f ca="1">VLOOKUP($A$3,'States by Mo'!$A$3:$BF$52,19)</f>
        <v>1.45</v>
      </c>
      <c r="R6" s="209">
        <f ca="1">VLOOKUP($A$3,'States by Mo'!$A$3:$BF$52,20)</f>
        <v>1.35</v>
      </c>
      <c r="S6" s="209">
        <f ca="1">VLOOKUP($A$3,'States by Mo'!$A$3:$BF$52,21)</f>
        <v>1.35</v>
      </c>
      <c r="T6" s="209">
        <f ca="1">VLOOKUP($A$3,'States by Mo'!$A$3:$BF$52,22)</f>
        <v>1.33</v>
      </c>
      <c r="U6" s="209">
        <f ca="1">VLOOKUP($A$3,'States by Mo'!$A$3:$BF$52,23)</f>
        <v>1.33</v>
      </c>
      <c r="V6" s="209">
        <f ca="1">VLOOKUP($A$3,'States by Mo'!$A$3:$BF$52,24)</f>
        <v>1.33</v>
      </c>
      <c r="W6" s="209">
        <f ca="1">VLOOKUP($A$3,'States by Mo'!$A$3:$BF$52,25)</f>
        <v>1.24</v>
      </c>
      <c r="X6" s="209">
        <f ca="1">VLOOKUP($A$3,'States by Mo'!$A$3:$BF$52,26)</f>
        <v>1.23</v>
      </c>
      <c r="Y6" s="210">
        <f>VLOOKUP($A$3,'States by Mo'!$A$3:$BF$52,27)</f>
        <v>2.0699999999999998</v>
      </c>
    </row>
    <row r="7" spans="1:25" s="120" customFormat="1" ht="26.5" x14ac:dyDescent="0.35">
      <c r="A7" s="216" t="s">
        <v>189</v>
      </c>
      <c r="B7" s="211">
        <f ca="1">VLOOKUP($A$3,'States by Mo'!$A$3:$BF$52,33)</f>
        <v>0.92</v>
      </c>
      <c r="C7" s="212">
        <f ca="1">VLOOKUP($A$3,'States by Mo'!$A$3:$BF$52,34)</f>
        <v>0.92</v>
      </c>
      <c r="D7" s="212">
        <f ca="1">VLOOKUP($A$3,'States by Mo'!$A$3:$BF$52,35)</f>
        <v>0.92</v>
      </c>
      <c r="E7" s="212">
        <f ca="1">VLOOKUP($A$3,'States by Mo'!$A$3:$BF$52,36)</f>
        <v>0.98</v>
      </c>
      <c r="F7" s="212">
        <f ca="1">VLOOKUP($A$3,'States by Mo'!$A$3:$BF$52,37)</f>
        <v>0.77</v>
      </c>
      <c r="G7" s="212">
        <f ca="1">VLOOKUP($A$3,'States by Mo'!$A$3:$BF$52,38)</f>
        <v>0.68</v>
      </c>
      <c r="H7" s="212">
        <f ca="1">VLOOKUP($A$3,'States by Mo'!$A$3:$BF$52,39)</f>
        <v>0.68</v>
      </c>
      <c r="I7" s="212">
        <f ca="1">VLOOKUP($A$3,'States by Mo'!$A$3:$BF$52,40)</f>
        <v>0.65</v>
      </c>
      <c r="J7" s="212">
        <f ca="1">VLOOKUP($A$3,'States by Mo'!$A$3:$BF$52,41)</f>
        <v>0.89</v>
      </c>
      <c r="K7" s="212">
        <f ca="1">VLOOKUP($A$3,'States by Mo'!$A$3:$BF$52,42)</f>
        <v>0.93</v>
      </c>
      <c r="L7" s="212">
        <f ca="1">VLOOKUP($A$3,'States by Mo'!$A$3:$BF$52,43)</f>
        <v>1.03</v>
      </c>
      <c r="M7" s="212">
        <f ca="1">VLOOKUP($A$3,'States by Mo'!$A$3:$BF$52,44)</f>
        <v>0.95</v>
      </c>
      <c r="N7" s="212">
        <f ca="1">VLOOKUP($A$3,'States by Mo'!$A$3:$BF$52,45)</f>
        <v>0.9</v>
      </c>
      <c r="O7" s="212">
        <f ca="1">VLOOKUP($A$3,'States by Mo'!$A$3:$BF$52,46)</f>
        <v>0.8</v>
      </c>
      <c r="P7" s="212">
        <f ca="1">VLOOKUP($A$3,'States by Mo'!$A$3:$BF$52,47)</f>
        <v>0.98</v>
      </c>
      <c r="Q7" s="212">
        <f ca="1">VLOOKUP($A$3,'States by Mo'!$A$3:$BF$52,48)</f>
        <v>0.89</v>
      </c>
      <c r="R7" s="212">
        <f ca="1">VLOOKUP($A$3,'States by Mo'!$A$3:$BF$52,49)</f>
        <v>0.97</v>
      </c>
      <c r="S7" s="212">
        <f ca="1">VLOOKUP($A$3,'States by Mo'!$A$3:$BF$52,50)</f>
        <v>0.96</v>
      </c>
      <c r="T7" s="212">
        <f ca="1">VLOOKUP($A$3,'States by Mo'!$A$3:$BF$52,51)</f>
        <v>0.96</v>
      </c>
      <c r="U7" s="212">
        <f ca="1">VLOOKUP($A$3,'States by Mo'!$A$3:$BF$52,52)</f>
        <v>0.83</v>
      </c>
      <c r="V7" s="212">
        <f ca="1">VLOOKUP($A$3,'States by Mo'!$A$3:$BF$52,53)</f>
        <v>0.57999999999999996</v>
      </c>
      <c r="W7" s="212">
        <f ca="1">VLOOKUP($A$3,'States by Mo'!$A$3:$BF$52,54)</f>
        <v>0.59</v>
      </c>
      <c r="X7" s="212">
        <f ca="1">VLOOKUP($A$3,'States by Mo'!$A$3:$BF$52,55)</f>
        <v>0.49</v>
      </c>
      <c r="Y7" s="213">
        <f>VLOOKUP($A$3,'States by Mo'!$A$3:$BF$52,56)</f>
        <v>0.59</v>
      </c>
    </row>
    <row r="79" spans="12:26" x14ac:dyDescent="0.35">
      <c r="L79" s="120"/>
      <c r="M79" s="120"/>
      <c r="N79" s="120"/>
      <c r="O79" s="120"/>
      <c r="P79" s="120"/>
      <c r="Q79" s="120"/>
      <c r="R79" s="120"/>
      <c r="S79" s="120"/>
      <c r="T79" s="120"/>
      <c r="U79" s="120"/>
      <c r="V79" s="120"/>
      <c r="W79" s="120"/>
      <c r="X79" s="120"/>
      <c r="Y79" s="120"/>
      <c r="Z79" s="120"/>
    </row>
    <row r="80" spans="12:26" x14ac:dyDescent="0.35">
      <c r="L80" s="120"/>
      <c r="M80" s="120"/>
      <c r="N80" s="120"/>
      <c r="O80" s="120"/>
      <c r="P80" s="120"/>
      <c r="Q80" s="120"/>
      <c r="R80" s="120"/>
      <c r="S80" s="120"/>
      <c r="T80" s="120"/>
      <c r="U80" s="120"/>
      <c r="V80" s="120"/>
      <c r="W80" s="120"/>
      <c r="X80" s="120"/>
      <c r="Y80" s="120"/>
      <c r="Z80" s="120"/>
    </row>
    <row r="81" spans="1:26" x14ac:dyDescent="0.35">
      <c r="L81" s="120"/>
      <c r="M81" s="120"/>
      <c r="N81" s="100"/>
      <c r="O81" s="100"/>
      <c r="P81" s="100"/>
      <c r="Q81" s="100"/>
      <c r="R81" s="100"/>
      <c r="S81" s="100"/>
      <c r="T81" s="100"/>
      <c r="U81" s="100"/>
      <c r="V81" s="100"/>
      <c r="W81" s="100"/>
      <c r="X81" s="100"/>
      <c r="Y81" s="100"/>
      <c r="Z81" s="120"/>
    </row>
    <row r="82" spans="1:26" x14ac:dyDescent="0.35">
      <c r="L82" s="120"/>
      <c r="M82" s="120"/>
      <c r="N82" s="100"/>
      <c r="O82" s="100"/>
      <c r="P82" s="100"/>
      <c r="Q82" s="100"/>
      <c r="R82" s="100"/>
      <c r="S82" s="100"/>
      <c r="T82" s="100"/>
      <c r="U82" s="100"/>
      <c r="V82" s="100"/>
      <c r="W82" s="100"/>
      <c r="X82" s="100"/>
      <c r="Y82" s="100"/>
      <c r="Z82" s="120"/>
    </row>
    <row r="83" spans="1:26" x14ac:dyDescent="0.35">
      <c r="L83" s="120"/>
      <c r="M83" s="120"/>
      <c r="N83" s="120"/>
      <c r="O83" s="120"/>
      <c r="P83" s="120"/>
      <c r="Q83" s="120"/>
      <c r="R83" s="120"/>
      <c r="S83" s="120"/>
      <c r="T83" s="120"/>
      <c r="U83" s="120"/>
      <c r="V83" s="120"/>
      <c r="W83" s="120"/>
      <c r="X83" s="120"/>
      <c r="Y83" s="120"/>
      <c r="Z83" s="120"/>
    </row>
    <row r="84" spans="1:26" x14ac:dyDescent="0.35">
      <c r="L84" s="120"/>
      <c r="M84" s="120"/>
      <c r="N84" s="120"/>
      <c r="O84" s="120"/>
      <c r="P84" s="120"/>
      <c r="Q84" s="120"/>
      <c r="R84" s="120"/>
      <c r="S84" s="120"/>
      <c r="T84" s="120"/>
      <c r="U84" s="120"/>
      <c r="V84" s="120"/>
      <c r="W84" s="120"/>
      <c r="X84" s="120"/>
      <c r="Y84" s="120"/>
      <c r="Z84" s="120"/>
    </row>
    <row r="85" spans="1:26" x14ac:dyDescent="0.35">
      <c r="L85" s="120"/>
      <c r="M85" s="120"/>
      <c r="N85" s="120"/>
      <c r="O85" s="120"/>
      <c r="P85" s="120"/>
      <c r="Q85" s="120"/>
      <c r="R85" s="120"/>
      <c r="S85" s="120"/>
      <c r="T85" s="120"/>
      <c r="U85" s="120"/>
      <c r="V85" s="120"/>
      <c r="W85" s="120"/>
      <c r="X85" s="120"/>
      <c r="Y85" s="120"/>
      <c r="Z85" s="120"/>
    </row>
    <row r="91" spans="1:26" x14ac:dyDescent="0.35">
      <c r="A91" s="182"/>
    </row>
    <row r="92" spans="1:26" x14ac:dyDescent="0.35">
      <c r="A92" s="182"/>
    </row>
    <row r="93" spans="1:26" x14ac:dyDescent="0.35">
      <c r="A93" s="182"/>
    </row>
    <row r="94" spans="1:26" x14ac:dyDescent="0.35">
      <c r="A94" s="182"/>
    </row>
    <row r="95" spans="1:26" x14ac:dyDescent="0.35">
      <c r="A95" s="182"/>
    </row>
    <row r="96" spans="1:26" x14ac:dyDescent="0.35">
      <c r="A96" s="182"/>
    </row>
    <row r="97" spans="1:1" x14ac:dyDescent="0.35">
      <c r="A97" s="182"/>
    </row>
    <row r="98" spans="1:1" x14ac:dyDescent="0.35">
      <c r="A98" s="182"/>
    </row>
    <row r="99" spans="1:1" x14ac:dyDescent="0.35">
      <c r="A99" s="182"/>
    </row>
    <row r="100" spans="1:1" x14ac:dyDescent="0.35">
      <c r="A100" s="182"/>
    </row>
    <row r="101" spans="1:1" x14ac:dyDescent="0.35">
      <c r="A101" s="182"/>
    </row>
    <row r="102" spans="1:1" x14ac:dyDescent="0.35">
      <c r="A102" s="182"/>
    </row>
    <row r="103" spans="1:1" x14ac:dyDescent="0.35">
      <c r="A103" s="182"/>
    </row>
    <row r="104" spans="1:1" x14ac:dyDescent="0.35">
      <c r="A104" s="182"/>
    </row>
    <row r="105" spans="1:1" x14ac:dyDescent="0.35">
      <c r="A105" s="182"/>
    </row>
    <row r="106" spans="1:1" x14ac:dyDescent="0.35">
      <c r="A106" s="182"/>
    </row>
    <row r="107" spans="1:1" x14ac:dyDescent="0.35">
      <c r="A107" s="182"/>
    </row>
    <row r="108" spans="1:1" x14ac:dyDescent="0.35">
      <c r="A108" s="182"/>
    </row>
    <row r="109" spans="1:1" x14ac:dyDescent="0.35">
      <c r="A109" s="182"/>
    </row>
    <row r="110" spans="1:1" x14ac:dyDescent="0.35">
      <c r="A110" s="182"/>
    </row>
    <row r="111" spans="1:1" x14ac:dyDescent="0.35">
      <c r="A111" s="182"/>
    </row>
    <row r="112" spans="1:1" x14ac:dyDescent="0.35">
      <c r="A112" s="182"/>
    </row>
    <row r="113" spans="1:1" x14ac:dyDescent="0.35">
      <c r="A113" s="182"/>
    </row>
    <row r="114" spans="1:1" x14ac:dyDescent="0.35">
      <c r="A114" s="182"/>
    </row>
    <row r="115" spans="1:1" x14ac:dyDescent="0.35">
      <c r="A115" s="182"/>
    </row>
    <row r="116" spans="1:1" x14ac:dyDescent="0.35">
      <c r="A116" s="182"/>
    </row>
    <row r="117" spans="1:1" x14ac:dyDescent="0.35">
      <c r="A117" s="182"/>
    </row>
    <row r="118" spans="1:1" x14ac:dyDescent="0.35">
      <c r="A118" s="182"/>
    </row>
    <row r="119" spans="1:1" x14ac:dyDescent="0.35">
      <c r="A119" s="182"/>
    </row>
    <row r="120" spans="1:1" x14ac:dyDescent="0.35">
      <c r="A120" s="182"/>
    </row>
    <row r="121" spans="1:1" x14ac:dyDescent="0.35">
      <c r="A121" s="182"/>
    </row>
    <row r="122" spans="1:1" x14ac:dyDescent="0.35">
      <c r="A122" s="182"/>
    </row>
    <row r="123" spans="1:1" x14ac:dyDescent="0.35">
      <c r="A123" s="182"/>
    </row>
    <row r="124" spans="1:1" x14ac:dyDescent="0.35">
      <c r="A124" s="182"/>
    </row>
    <row r="125" spans="1:1" x14ac:dyDescent="0.35">
      <c r="A125" s="182"/>
    </row>
    <row r="126" spans="1:1" x14ac:dyDescent="0.35">
      <c r="A126" s="182"/>
    </row>
    <row r="127" spans="1:1" x14ac:dyDescent="0.35">
      <c r="A127" s="182"/>
    </row>
    <row r="128" spans="1:1" x14ac:dyDescent="0.35">
      <c r="A128" s="182"/>
    </row>
    <row r="129" spans="1:1" x14ac:dyDescent="0.35">
      <c r="A129" s="182"/>
    </row>
    <row r="130" spans="1:1" x14ac:dyDescent="0.35">
      <c r="A130" s="182"/>
    </row>
    <row r="131" spans="1:1" x14ac:dyDescent="0.35">
      <c r="A131" s="182"/>
    </row>
    <row r="132" spans="1:1" x14ac:dyDescent="0.35">
      <c r="A132" s="182"/>
    </row>
    <row r="133" spans="1:1" x14ac:dyDescent="0.35">
      <c r="A133" s="182"/>
    </row>
    <row r="134" spans="1:1" x14ac:dyDescent="0.35">
      <c r="A134" s="182"/>
    </row>
    <row r="135" spans="1:1" x14ac:dyDescent="0.35">
      <c r="A135" s="182"/>
    </row>
    <row r="136" spans="1:1" x14ac:dyDescent="0.35">
      <c r="A136" s="182"/>
    </row>
    <row r="137" spans="1:1" x14ac:dyDescent="0.35">
      <c r="A137" s="182"/>
    </row>
    <row r="138" spans="1:1" x14ac:dyDescent="0.35">
      <c r="A138" s="182"/>
    </row>
    <row r="139" spans="1:1" x14ac:dyDescent="0.35">
      <c r="A139" s="182"/>
    </row>
    <row r="140" spans="1:1" x14ac:dyDescent="0.35">
      <c r="A140" s="182"/>
    </row>
  </sheetData>
  <sheetProtection sheet="1"/>
  <mergeCells count="4">
    <mergeCell ref="O2:Q2"/>
    <mergeCell ref="O3:Q3"/>
    <mergeCell ref="H2:I2"/>
    <mergeCell ref="H3:I3"/>
  </mergeCells>
  <phoneticPr fontId="0" type="noConversion"/>
  <conditionalFormatting sqref="X2:X3">
    <cfRule type="cellIs" dxfId="81" priority="1" stopIfTrue="1" operator="lessThanOrEqual">
      <formula>25</formula>
    </cfRule>
    <cfRule type="cellIs" dxfId="80" priority="2" stopIfTrue="1" operator="greaterThan">
      <formula>25</formula>
    </cfRule>
  </conditionalFormatting>
  <pageMargins left="0.75" right="0.75" top="1" bottom="1" header="0.5" footer="0.5"/>
  <pageSetup scale="70" orientation="landscape" horizontalDpi="300" verticalDpi="300" r:id="rId1"/>
  <headerFooter alignWithMargins="0">
    <oddHeader>&amp;CLOCCS
State Allocation of Expenditure Report for CPD Block Grant Programs</oddHeader>
  </headerFooter>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579D3-35A2-4DB2-B340-83096F83B137}">
  <sheetPr codeName="Sheet9">
    <tabColor indexed="51"/>
    <pageSetUpPr autoPageBreaks="0" fitToPage="1"/>
  </sheetPr>
  <dimension ref="A1:L112"/>
  <sheetViews>
    <sheetView topLeftCell="A3" zoomScaleNormal="100" zoomScaleSheetLayoutView="25" workbookViewId="0">
      <selection activeCell="L113" sqref="L113"/>
    </sheetView>
  </sheetViews>
  <sheetFormatPr defaultColWidth="9.1796875" defaultRowHeight="12" x14ac:dyDescent="0.3"/>
  <cols>
    <col min="1" max="1" width="17.7265625" style="98" bestFit="1" customWidth="1"/>
    <col min="2" max="2" width="9" style="119" customWidth="1"/>
    <col min="3" max="3" width="11.26953125" style="118" customWidth="1"/>
    <col min="4" max="4" width="10.54296875" style="99" customWidth="1"/>
    <col min="5" max="5" width="11.81640625" style="118" customWidth="1"/>
    <col min="6" max="6" width="11" style="99" customWidth="1"/>
    <col min="7" max="7" width="11.54296875" style="135" customWidth="1"/>
    <col min="8" max="8" width="11" style="99" customWidth="1"/>
    <col min="9" max="9" width="10.7265625" style="122" customWidth="1"/>
    <col min="10" max="10" width="11.26953125" style="99" customWidth="1"/>
    <col min="11" max="11" width="5" style="122" customWidth="1"/>
    <col min="12" max="16384" width="9.1796875" style="122"/>
  </cols>
  <sheetData>
    <row r="1" spans="1:12" s="120" customFormat="1" ht="14.5" x14ac:dyDescent="0.35">
      <c r="B1" s="121"/>
      <c r="C1" s="117"/>
      <c r="D1" s="265" t="s">
        <v>131</v>
      </c>
      <c r="E1" s="266"/>
      <c r="F1" s="266"/>
      <c r="G1" s="266"/>
      <c r="H1" s="266"/>
      <c r="J1" s="139" t="str">
        <f>template!$B$1</f>
        <v>09/30/2026</v>
      </c>
    </row>
    <row r="2" spans="1:12" s="129" customFormat="1" ht="65.25" customHeight="1" x14ac:dyDescent="0.25">
      <c r="A2" s="129" t="s">
        <v>0</v>
      </c>
      <c r="B2" s="130" t="s">
        <v>132</v>
      </c>
      <c r="C2" s="131" t="str">
        <f>"Ratio of Unexpended to Grant in "&amp;TEXT('LOCCS Import'!C1,"MMM")</f>
        <v>Ratio of Unexpended to Grant in Sep</v>
      </c>
      <c r="D2" s="132" t="s">
        <v>179</v>
      </c>
      <c r="E2" s="133" t="s">
        <v>180</v>
      </c>
      <c r="F2" s="134" t="s">
        <v>181</v>
      </c>
      <c r="G2" s="133" t="s">
        <v>182</v>
      </c>
      <c r="H2" s="134" t="s">
        <v>184</v>
      </c>
      <c r="I2" s="133" t="s">
        <v>183</v>
      </c>
      <c r="J2" s="170" t="s">
        <v>133</v>
      </c>
    </row>
    <row r="3" spans="1:12" ht="12.75" customHeight="1" x14ac:dyDescent="0.3">
      <c r="A3" s="123" t="s">
        <v>36</v>
      </c>
      <c r="B3" s="124">
        <f>VLOOKUP(A3,template!$A$3:$P$53,15,)</f>
        <v>45931</v>
      </c>
      <c r="C3" s="127">
        <f>VLOOKUP(A3,template!$A$3:$P$53,7,)</f>
        <v>3.82</v>
      </c>
      <c r="D3" s="128">
        <f t="shared" ref="D3:D34" ca="1" si="0">RANK(C3,INDIRECT("C"&amp;MATCH(B3,B$1:B$52,0)&amp;":C"&amp;MATCH(B3,B$1:B$52)),1)</f>
        <v>1</v>
      </c>
      <c r="E3" s="118">
        <f ca="1">VLOOKUP(A3,'States by Mo'!$A$3:$AD$53,30,)</f>
        <v>4.1308333333333342</v>
      </c>
      <c r="F3" s="128">
        <f t="shared" ref="F3:F34" ca="1" si="1">RANK(E3,INDIRECT("E"&amp;MATCH(B3,B$1:B$52,0)&amp;":E"&amp;MATCH(B3,B$1:B$52)),1)</f>
        <v>1</v>
      </c>
      <c r="G3" s="118">
        <f>VLOOKUP(A3,template!$A$3:$P$53,8,)</f>
        <v>0.85</v>
      </c>
      <c r="H3" s="128">
        <f t="shared" ref="H3:H34" ca="1" si="2">RANK(G3,INDIRECT("G"&amp;MATCH(B3,B$1:B$52,0)&amp;":G"&amp;MATCH(B3,B$1:B$52)),)</f>
        <v>1</v>
      </c>
      <c r="I3" s="125">
        <f ca="1">VLOOKUP(A3,'States by Mo'!$A$3:$BF$53,57,)</f>
        <v>0.87916666666666676</v>
      </c>
      <c r="J3" s="128">
        <f t="shared" ref="J3:J34" ca="1" si="3">RANK(I3,INDIRECT("I"&amp;MATCH(B3,B$1:B$52,0)&amp;":I"&amp;MATCH(B3,B$1:B$52)),)</f>
        <v>1</v>
      </c>
    </row>
    <row r="4" spans="1:12" ht="12.75" customHeight="1" x14ac:dyDescent="0.3">
      <c r="A4" s="123" t="s">
        <v>46</v>
      </c>
      <c r="B4" s="124">
        <f>VLOOKUP(A4,template!$A$3:$P$53,15,)</f>
        <v>46023</v>
      </c>
      <c r="C4" s="127">
        <f>VLOOKUP(A4,template!$A$3:$P$53,7,)</f>
        <v>4.9000000000000004</v>
      </c>
      <c r="D4" s="128">
        <f t="shared" ca="1" si="0"/>
        <v>12</v>
      </c>
      <c r="E4" s="118">
        <f ca="1">VLOOKUP(A4,'States by Mo'!$A$3:$AD$53,30,)</f>
        <v>5.3624999999999998</v>
      </c>
      <c r="F4" s="128">
        <f t="shared" ca="1" si="1"/>
        <v>12</v>
      </c>
      <c r="G4" s="118">
        <f>VLOOKUP(A4,template!$A$3:$P$53,8,)</f>
        <v>0.89</v>
      </c>
      <c r="H4" s="128">
        <f t="shared" ca="1" si="2"/>
        <v>8</v>
      </c>
      <c r="I4" s="125">
        <f ca="1">VLOOKUP(A4,'States by Mo'!$A$3:$BF$53,57,)</f>
        <v>0.94333333333333336</v>
      </c>
      <c r="J4" s="128">
        <f t="shared" ca="1" si="3"/>
        <v>7</v>
      </c>
    </row>
    <row r="5" spans="1:12" ht="12.75" customHeight="1" x14ac:dyDescent="0.3">
      <c r="A5" s="123" t="s">
        <v>55</v>
      </c>
      <c r="B5" s="124">
        <f>VLOOKUP(A5,template!$A$3:$P$53,15,)</f>
        <v>46023</v>
      </c>
      <c r="C5" s="127">
        <f>VLOOKUP(A5,template!$A$3:$P$53,7,)</f>
        <v>3.97</v>
      </c>
      <c r="D5" s="128">
        <f t="shared" ca="1" si="0"/>
        <v>11</v>
      </c>
      <c r="E5" s="118">
        <f ca="1">VLOOKUP(A5,'States by Mo'!$A$3:$AD$53,30,)</f>
        <v>2.8741666666666661</v>
      </c>
      <c r="F5" s="128">
        <f t="shared" ca="1" si="1"/>
        <v>4</v>
      </c>
      <c r="G5" s="118">
        <f>VLOOKUP(A5,template!$A$3:$P$53,8,)</f>
        <v>0.54</v>
      </c>
      <c r="H5" s="128">
        <f t="shared" ca="1" si="2"/>
        <v>12</v>
      </c>
      <c r="I5" s="125">
        <f ca="1">VLOOKUP(A5,'States by Mo'!$A$3:$BF$53,57,)</f>
        <v>1.26</v>
      </c>
      <c r="J5" s="128">
        <f t="shared" ca="1" si="3"/>
        <v>4</v>
      </c>
    </row>
    <row r="6" spans="1:12" ht="12.75" customHeight="1" x14ac:dyDescent="0.3">
      <c r="A6" s="123" t="s">
        <v>28</v>
      </c>
      <c r="B6" s="124">
        <f>VLOOKUP(A6,template!$A$3:$P$53,15,)</f>
        <v>46023</v>
      </c>
      <c r="C6" s="127">
        <f>VLOOKUP(A6,template!$A$3:$P$53,7,)</f>
        <v>3.87</v>
      </c>
      <c r="D6" s="128">
        <f t="shared" ca="1" si="0"/>
        <v>10</v>
      </c>
      <c r="E6" s="118">
        <f ca="1">VLOOKUP(A6,'States by Mo'!$A$3:$AD$53,30,)</f>
        <v>3.2941666666666669</v>
      </c>
      <c r="F6" s="128">
        <f t="shared" ca="1" si="1"/>
        <v>8</v>
      </c>
      <c r="G6" s="118">
        <f>VLOOKUP(A6,template!$A$3:$P$53,8,)</f>
        <v>0.73</v>
      </c>
      <c r="H6" s="128">
        <f t="shared" ca="1" si="2"/>
        <v>10</v>
      </c>
      <c r="I6" s="125">
        <f ca="1">VLOOKUP(A6,'States by Mo'!$A$3:$BF$53,57,)</f>
        <v>0.8008333333333334</v>
      </c>
      <c r="J6" s="128">
        <f t="shared" ca="1" si="3"/>
        <v>11</v>
      </c>
    </row>
    <row r="7" spans="1:12" ht="12.75" customHeight="1" x14ac:dyDescent="0.3">
      <c r="A7" s="123" t="s">
        <v>29</v>
      </c>
      <c r="B7" s="124">
        <f>VLOOKUP(A7,template!$A$3:$P$53,15,)</f>
        <v>46023</v>
      </c>
      <c r="C7" s="127">
        <f>VLOOKUP(A7,template!$A$3:$P$53,7,)</f>
        <v>3.76</v>
      </c>
      <c r="D7" s="128">
        <f t="shared" ca="1" si="0"/>
        <v>9</v>
      </c>
      <c r="E7" s="118">
        <f ca="1">VLOOKUP(A7,'States by Mo'!$A$3:$AD$53,30,)</f>
        <v>3.2433333333333336</v>
      </c>
      <c r="F7" s="128">
        <f t="shared" ca="1" si="1"/>
        <v>7</v>
      </c>
      <c r="G7" s="118">
        <f>VLOOKUP(A7,template!$A$3:$P$53,8,)</f>
        <v>0.55000000000000004</v>
      </c>
      <c r="H7" s="128">
        <f t="shared" ca="1" si="2"/>
        <v>11</v>
      </c>
      <c r="I7" s="125">
        <f ca="1">VLOOKUP(A7,'States by Mo'!$A$3:$BF$53,57,)</f>
        <v>0.63583333333333336</v>
      </c>
      <c r="J7" s="128">
        <f t="shared" ca="1" si="3"/>
        <v>12</v>
      </c>
    </row>
    <row r="8" spans="1:12" ht="12.75" customHeight="1" x14ac:dyDescent="0.3">
      <c r="A8" s="123" t="s">
        <v>45</v>
      </c>
      <c r="B8" s="124">
        <f>VLOOKUP(A8,template!$A$3:$P$53,15,)</f>
        <v>46023</v>
      </c>
      <c r="C8" s="127">
        <f>VLOOKUP(A8,template!$A$3:$P$53,7,)</f>
        <v>3.71</v>
      </c>
      <c r="D8" s="128">
        <f t="shared" ca="1" si="0"/>
        <v>8</v>
      </c>
      <c r="E8" s="118">
        <f ca="1">VLOOKUP(A8,'States by Mo'!$A$3:$AD$53,30,)</f>
        <v>3.2249999999999996</v>
      </c>
      <c r="F8" s="128">
        <f t="shared" ca="1" si="1"/>
        <v>6</v>
      </c>
      <c r="G8" s="118">
        <f>VLOOKUP(A8,template!$A$3:$P$53,8,)</f>
        <v>0.92</v>
      </c>
      <c r="H8" s="128">
        <f t="shared" ca="1" si="2"/>
        <v>7</v>
      </c>
      <c r="I8" s="125">
        <f ca="1">VLOOKUP(A8,'States by Mo'!$A$3:$BF$53,57,)</f>
        <v>0.84916666666666663</v>
      </c>
      <c r="J8" s="128">
        <f t="shared" ca="1" si="3"/>
        <v>10</v>
      </c>
    </row>
    <row r="9" spans="1:12" ht="12.75" customHeight="1" x14ac:dyDescent="0.3">
      <c r="A9" s="123" t="s">
        <v>44</v>
      </c>
      <c r="B9" s="124">
        <f>VLOOKUP(A9,template!$A$3:$P$53,15,)</f>
        <v>46023</v>
      </c>
      <c r="C9" s="127">
        <f>VLOOKUP(A9,template!$A$3:$P$53,7,)</f>
        <v>3.68</v>
      </c>
      <c r="D9" s="128">
        <f t="shared" ca="1" si="0"/>
        <v>7</v>
      </c>
      <c r="E9" s="118">
        <f ca="1">VLOOKUP(A9,'States by Mo'!$A$3:$AD$53,30,)</f>
        <v>4.0483333333333329</v>
      </c>
      <c r="F9" s="128">
        <f t="shared" ca="1" si="1"/>
        <v>10</v>
      </c>
      <c r="G9" s="118">
        <f>VLOOKUP(A9,template!$A$3:$P$53,8,)</f>
        <v>1.0900000000000001</v>
      </c>
      <c r="H9" s="128">
        <f t="shared" ca="1" si="2"/>
        <v>4</v>
      </c>
      <c r="I9" s="125">
        <f ca="1">VLOOKUP(A9,'States by Mo'!$A$3:$BF$53,57,)</f>
        <v>1.0008333333333332</v>
      </c>
      <c r="J9" s="128">
        <f t="shared" ca="1" si="3"/>
        <v>5</v>
      </c>
    </row>
    <row r="10" spans="1:12" ht="12.75" customHeight="1" x14ac:dyDescent="0.3">
      <c r="A10" s="123" t="s">
        <v>64</v>
      </c>
      <c r="B10" s="124">
        <f>VLOOKUP(A10,template!$A$3:$P$53,15,)</f>
        <v>46023</v>
      </c>
      <c r="C10" s="127">
        <f>VLOOKUP(A10,template!$A$3:$P$53,7,)</f>
        <v>3.53</v>
      </c>
      <c r="D10" s="128">
        <f t="shared" ca="1" si="0"/>
        <v>6</v>
      </c>
      <c r="E10" s="118">
        <f ca="1">VLOOKUP(A10,'States by Mo'!$A$3:$AD$53,30,)</f>
        <v>4.2316666666666665</v>
      </c>
      <c r="F10" s="128">
        <f t="shared" ca="1" si="1"/>
        <v>11</v>
      </c>
      <c r="G10" s="118">
        <f>VLOOKUP(A10,template!$A$3:$P$53,8,)</f>
        <v>1.69</v>
      </c>
      <c r="H10" s="128">
        <f t="shared" ca="1" si="2"/>
        <v>2</v>
      </c>
      <c r="I10" s="125">
        <f ca="1">VLOOKUP(A10,'States by Mo'!$A$3:$BF$53,57,)</f>
        <v>1.3425</v>
      </c>
      <c r="J10" s="128">
        <f t="shared" ca="1" si="3"/>
        <v>3</v>
      </c>
    </row>
    <row r="11" spans="1:12" ht="12.75" customHeight="1" x14ac:dyDescent="0.3">
      <c r="A11" s="123" t="s">
        <v>26</v>
      </c>
      <c r="B11" s="124">
        <f>VLOOKUP(A11,template!$A$3:$P$53,15,)</f>
        <v>46023</v>
      </c>
      <c r="C11" s="127">
        <f>VLOOKUP(A11,template!$A$3:$P$53,7,)</f>
        <v>3.36</v>
      </c>
      <c r="D11" s="128">
        <f t="shared" ca="1" si="0"/>
        <v>5</v>
      </c>
      <c r="E11" s="118">
        <f ca="1">VLOOKUP(A11,'States by Mo'!$A$3:$AD$53,30,)</f>
        <v>3.7833333333333337</v>
      </c>
      <c r="F11" s="128">
        <f t="shared" ca="1" si="1"/>
        <v>9</v>
      </c>
      <c r="G11" s="118">
        <f>VLOOKUP(A11,template!$A$3:$P$53,8,)</f>
        <v>1.71</v>
      </c>
      <c r="H11" s="128">
        <f t="shared" ca="1" si="2"/>
        <v>1</v>
      </c>
      <c r="I11" s="125">
        <f ca="1">VLOOKUP(A11,'States by Mo'!$A$3:$BF$53,57,)</f>
        <v>1.8541666666666667</v>
      </c>
      <c r="J11" s="128">
        <f t="shared" ca="1" si="3"/>
        <v>1</v>
      </c>
    </row>
    <row r="12" spans="1:12" ht="12.75" customHeight="1" x14ac:dyDescent="0.3">
      <c r="A12" s="123" t="s">
        <v>51</v>
      </c>
      <c r="B12" s="124">
        <f>VLOOKUP(A12,template!$A$3:$P$53,15,)</f>
        <v>46023</v>
      </c>
      <c r="C12" s="127">
        <f>VLOOKUP(A12,template!$A$3:$P$53,7,)</f>
        <v>2.74</v>
      </c>
      <c r="D12" s="128">
        <f t="shared" ca="1" si="0"/>
        <v>4</v>
      </c>
      <c r="E12" s="118">
        <f ca="1">VLOOKUP(A12,'States by Mo'!$A$3:$AD$53,30,)</f>
        <v>3.1266666666666669</v>
      </c>
      <c r="F12" s="128">
        <f t="shared" ca="1" si="1"/>
        <v>5</v>
      </c>
      <c r="G12" s="118">
        <f>VLOOKUP(A12,template!$A$3:$P$53,8,)</f>
        <v>0.97</v>
      </c>
      <c r="H12" s="128">
        <f t="shared" ca="1" si="2"/>
        <v>6</v>
      </c>
      <c r="I12" s="125">
        <f ca="1">VLOOKUP(A12,'States by Mo'!$A$3:$BF$53,57,)</f>
        <v>0.95666666666666689</v>
      </c>
      <c r="J12" s="128">
        <f t="shared" ca="1" si="3"/>
        <v>6</v>
      </c>
    </row>
    <row r="13" spans="1:12" ht="12.75" customHeight="1" x14ac:dyDescent="0.3">
      <c r="A13" s="123" t="s">
        <v>32</v>
      </c>
      <c r="B13" s="124">
        <f>VLOOKUP(A13,template!$A$3:$P$53,15,)</f>
        <v>46023</v>
      </c>
      <c r="C13" s="127">
        <f>VLOOKUP(A13,template!$A$3:$P$53,7,)</f>
        <v>2.5299999999999998</v>
      </c>
      <c r="D13" s="128">
        <f t="shared" ca="1" si="0"/>
        <v>3</v>
      </c>
      <c r="E13" s="118">
        <f ca="1">VLOOKUP(A13,'States by Mo'!$A$3:$AD$53,30,)</f>
        <v>1.9758333333333333</v>
      </c>
      <c r="F13" s="128">
        <f t="shared" ca="1" si="1"/>
        <v>2</v>
      </c>
      <c r="G13" s="118">
        <f>VLOOKUP(A13,template!$A$3:$P$53,8,)</f>
        <v>0.77</v>
      </c>
      <c r="H13" s="128">
        <f t="shared" ca="1" si="2"/>
        <v>9</v>
      </c>
      <c r="I13" s="125">
        <f ca="1">VLOOKUP(A13,'States by Mo'!$A$3:$BF$53,57,)</f>
        <v>0.93083333333333351</v>
      </c>
      <c r="J13" s="128">
        <f t="shared" ca="1" si="3"/>
        <v>8</v>
      </c>
    </row>
    <row r="14" spans="1:12" ht="12.75" customHeight="1" x14ac:dyDescent="0.3">
      <c r="A14" s="123" t="s">
        <v>42</v>
      </c>
      <c r="B14" s="124">
        <f>VLOOKUP(A14,template!$A$3:$P$53,15,)</f>
        <v>46023</v>
      </c>
      <c r="C14" s="127">
        <f>VLOOKUP(A14,template!$A$3:$P$53,7,)</f>
        <v>2.13</v>
      </c>
      <c r="D14" s="128">
        <f t="shared" ca="1" si="0"/>
        <v>2</v>
      </c>
      <c r="E14" s="118">
        <f ca="1">VLOOKUP(A14,'States by Mo'!$A$3:$AD$53,30,)</f>
        <v>2.6266666666666665</v>
      </c>
      <c r="F14" s="128">
        <f t="shared" ca="1" si="1"/>
        <v>3</v>
      </c>
      <c r="G14" s="118">
        <f>VLOOKUP(A14,template!$A$3:$P$53,8,)</f>
        <v>1.0900000000000001</v>
      </c>
      <c r="H14" s="128">
        <f t="shared" ca="1" si="2"/>
        <v>4</v>
      </c>
      <c r="I14" s="125">
        <f ca="1">VLOOKUP(A14,'States by Mo'!$A$3:$BF$53,57,)</f>
        <v>0.9</v>
      </c>
      <c r="J14" s="128">
        <f t="shared" ca="1" si="3"/>
        <v>9</v>
      </c>
    </row>
    <row r="15" spans="1:12" ht="12.75" customHeight="1" x14ac:dyDescent="0.3">
      <c r="A15" s="123" t="s">
        <v>50</v>
      </c>
      <c r="B15" s="124">
        <f>VLOOKUP(A15,template!$A$3:$P$53,15,)</f>
        <v>46023</v>
      </c>
      <c r="C15" s="127">
        <f>VLOOKUP(A15,template!$A$3:$P$53,7,)</f>
        <v>1.56</v>
      </c>
      <c r="D15" s="128">
        <f t="shared" ca="1" si="0"/>
        <v>1</v>
      </c>
      <c r="E15" s="118">
        <f ca="1">VLOOKUP(A15,'States by Mo'!$A$3:$AD$53,30,)</f>
        <v>1.8174999999999999</v>
      </c>
      <c r="F15" s="128">
        <f t="shared" ca="1" si="1"/>
        <v>1</v>
      </c>
      <c r="G15" s="118">
        <f>VLOOKUP(A15,template!$A$3:$P$53,8,)</f>
        <v>1.28</v>
      </c>
      <c r="H15" s="128">
        <f t="shared" ca="1" si="2"/>
        <v>3</v>
      </c>
      <c r="I15" s="125">
        <f ca="1">VLOOKUP(A15,'States by Mo'!$A$3:$BF$53,57,)</f>
        <v>1.3608333333333331</v>
      </c>
      <c r="J15" s="128">
        <f t="shared" ca="1" si="3"/>
        <v>2</v>
      </c>
    </row>
    <row r="16" spans="1:12" ht="12.75" customHeight="1" x14ac:dyDescent="0.3">
      <c r="A16" s="123" t="s">
        <v>39</v>
      </c>
      <c r="B16" s="124">
        <f>VLOOKUP(A16,template!$A$3:$P$53,15,)</f>
        <v>46113</v>
      </c>
      <c r="C16" s="127">
        <f>VLOOKUP(A16,template!$A$3:$P$53,7,)</f>
        <v>4.2699999999999996</v>
      </c>
      <c r="D16" s="128">
        <f t="shared" ca="1" si="0"/>
        <v>10</v>
      </c>
      <c r="E16" s="118">
        <f ca="1">VLOOKUP(A16,'States by Mo'!$A$3:$AD$53,30,)</f>
        <v>3.7416666666666671</v>
      </c>
      <c r="F16" s="128">
        <f t="shared" ca="1" si="1"/>
        <v>10</v>
      </c>
      <c r="G16" s="118">
        <f>VLOOKUP(A16,template!$A$3:$P$53,8,)</f>
        <v>1.19</v>
      </c>
      <c r="H16" s="128">
        <f t="shared" ca="1" si="2"/>
        <v>2</v>
      </c>
      <c r="I16" s="125">
        <f ca="1">VLOOKUP(A16,'States by Mo'!$A$3:$BF$53,57,)</f>
        <v>1.2041666666666664</v>
      </c>
      <c r="J16" s="128">
        <f t="shared" ca="1" si="3"/>
        <v>2</v>
      </c>
    </row>
    <row r="17" spans="1:10" ht="12" customHeight="1" x14ac:dyDescent="0.3">
      <c r="A17" s="123" t="s">
        <v>54</v>
      </c>
      <c r="B17" s="124">
        <f>VLOOKUP(A17,template!$A$3:$P$53,15,)</f>
        <v>46113</v>
      </c>
      <c r="C17" s="127">
        <f>VLOOKUP(A17,template!$A$3:$P$53,7,)</f>
        <v>3.97</v>
      </c>
      <c r="D17" s="128">
        <f t="shared" ca="1" si="0"/>
        <v>9</v>
      </c>
      <c r="E17" s="118">
        <f ca="1">VLOOKUP(A17,'States by Mo'!$A$3:$AD$53,30,)</f>
        <v>3.6033333333333331</v>
      </c>
      <c r="F17" s="128">
        <f t="shared" ca="1" si="1"/>
        <v>9</v>
      </c>
      <c r="G17" s="118">
        <f>VLOOKUP(A17,template!$A$3:$P$53,8,)</f>
        <v>1.02</v>
      </c>
      <c r="H17" s="128">
        <f t="shared" ca="1" si="2"/>
        <v>5</v>
      </c>
      <c r="I17" s="125">
        <f ca="1">VLOOKUP(A17,'States by Mo'!$A$3:$BF$53,57,)</f>
        <v>1.0441666666666667</v>
      </c>
      <c r="J17" s="128">
        <f t="shared" ca="1" si="3"/>
        <v>4</v>
      </c>
    </row>
    <row r="18" spans="1:10" ht="12.75" customHeight="1" x14ac:dyDescent="0.3">
      <c r="A18" s="123" t="s">
        <v>38</v>
      </c>
      <c r="B18" s="124">
        <f>VLOOKUP(A18,template!$A$3:$P$53,15,)</f>
        <v>46113</v>
      </c>
      <c r="C18" s="127">
        <f>VLOOKUP(A18,template!$A$3:$P$53,7,)</f>
        <v>3.93</v>
      </c>
      <c r="D18" s="128">
        <f t="shared" ca="1" si="0"/>
        <v>8</v>
      </c>
      <c r="E18" s="118">
        <f ca="1">VLOOKUP(A18,'States by Mo'!$A$3:$AD$53,30,)</f>
        <v>3.4216666666666669</v>
      </c>
      <c r="F18" s="128">
        <f t="shared" ca="1" si="1"/>
        <v>8</v>
      </c>
      <c r="G18" s="118">
        <f>VLOOKUP(A18,template!$A$3:$P$53,8,)</f>
        <v>1.1100000000000001</v>
      </c>
      <c r="H18" s="128">
        <f t="shared" ca="1" si="2"/>
        <v>3</v>
      </c>
      <c r="I18" s="125">
        <f ca="1">VLOOKUP(A18,'States by Mo'!$A$3:$BF$53,57,)</f>
        <v>1.0483333333333333</v>
      </c>
      <c r="J18" s="128">
        <f t="shared" ca="1" si="3"/>
        <v>3</v>
      </c>
    </row>
    <row r="19" spans="1:10" ht="12.75" customHeight="1" x14ac:dyDescent="0.3">
      <c r="A19" s="123" t="s">
        <v>20</v>
      </c>
      <c r="B19" s="124">
        <f>VLOOKUP(A19,template!$A$3:$P$53,15,)</f>
        <v>46113</v>
      </c>
      <c r="C19" s="127">
        <f>VLOOKUP(A19,template!$A$3:$P$53,7,)</f>
        <v>3.28</v>
      </c>
      <c r="D19" s="128">
        <f t="shared" ca="1" si="0"/>
        <v>7</v>
      </c>
      <c r="E19" s="118">
        <f ca="1">VLOOKUP(A19,'States by Mo'!$A$3:$AD$53,30,)</f>
        <v>3.1158333333333332</v>
      </c>
      <c r="F19" s="128">
        <f t="shared" ca="1" si="1"/>
        <v>7</v>
      </c>
      <c r="G19" s="118">
        <f>VLOOKUP(A19,template!$A$3:$P$53,8,)</f>
        <v>0.57999999999999996</v>
      </c>
      <c r="H19" s="128">
        <f t="shared" ca="1" si="2"/>
        <v>10</v>
      </c>
      <c r="I19" s="125">
        <f ca="1">VLOOKUP(A19,'States by Mo'!$A$3:$BF$53,57,)</f>
        <v>0.81166666666666687</v>
      </c>
      <c r="J19" s="128">
        <f t="shared" ca="1" si="3"/>
        <v>10</v>
      </c>
    </row>
    <row r="20" spans="1:10" ht="12.75" customHeight="1" x14ac:dyDescent="0.3">
      <c r="A20" s="123" t="s">
        <v>25</v>
      </c>
      <c r="B20" s="124">
        <f>VLOOKUP(A20,template!$A$3:$P$53,15,)</f>
        <v>46113</v>
      </c>
      <c r="C20" s="127">
        <f>VLOOKUP(A20,template!$A$3:$P$53,7,)</f>
        <v>2.85</v>
      </c>
      <c r="D20" s="128">
        <f t="shared" ca="1" si="0"/>
        <v>6</v>
      </c>
      <c r="E20" s="118">
        <f ca="1">VLOOKUP(A20,'States by Mo'!$A$3:$AD$53,30,)</f>
        <v>2.4625000000000004</v>
      </c>
      <c r="F20" s="128">
        <f t="shared" ca="1" si="1"/>
        <v>6</v>
      </c>
      <c r="G20" s="118">
        <f>VLOOKUP(A20,template!$A$3:$P$53,8,)</f>
        <v>1.04</v>
      </c>
      <c r="H20" s="128">
        <f t="shared" ca="1" si="2"/>
        <v>4</v>
      </c>
      <c r="I20" s="125">
        <f ca="1">VLOOKUP(A20,'States by Mo'!$A$3:$BF$53,57,)</f>
        <v>0.83833333333333326</v>
      </c>
      <c r="J20" s="128">
        <f t="shared" ca="1" si="3"/>
        <v>9</v>
      </c>
    </row>
    <row r="21" spans="1:10" ht="12.75" customHeight="1" x14ac:dyDescent="0.3">
      <c r="A21" s="123" t="s">
        <v>63</v>
      </c>
      <c r="B21" s="124">
        <f>VLOOKUP(A21,template!$A$3:$P$53,15,)</f>
        <v>46113</v>
      </c>
      <c r="C21" s="127">
        <f>VLOOKUP(A21,template!$A$3:$P$53,7,)</f>
        <v>2.71</v>
      </c>
      <c r="D21" s="128">
        <f t="shared" ca="1" si="0"/>
        <v>5</v>
      </c>
      <c r="E21" s="118">
        <f ca="1">VLOOKUP(A21,'States by Mo'!$A$3:$AD$53,30,)</f>
        <v>2.1166666666666667</v>
      </c>
      <c r="F21" s="128">
        <f t="shared" ca="1" si="1"/>
        <v>1</v>
      </c>
      <c r="G21" s="118">
        <f>VLOOKUP(A21,template!$A$3:$P$53,8,)</f>
        <v>0.8</v>
      </c>
      <c r="H21" s="128">
        <f t="shared" ca="1" si="2"/>
        <v>8</v>
      </c>
      <c r="I21" s="125">
        <f ca="1">VLOOKUP(A21,'States by Mo'!$A$3:$BF$53,57,)</f>
        <v>0.85166666666666668</v>
      </c>
      <c r="J21" s="128">
        <f t="shared" ca="1" si="3"/>
        <v>8</v>
      </c>
    </row>
    <row r="22" spans="1:10" ht="12.75" customHeight="1" x14ac:dyDescent="0.3">
      <c r="A22" s="123" t="s">
        <v>34</v>
      </c>
      <c r="B22" s="124">
        <f>VLOOKUP(A22,template!$A$3:$P$53,15,)</f>
        <v>46113</v>
      </c>
      <c r="C22" s="127">
        <f>VLOOKUP(A22,template!$A$3:$P$53,7,)</f>
        <v>2.4500000000000002</v>
      </c>
      <c r="D22" s="128">
        <f t="shared" ca="1" si="0"/>
        <v>4</v>
      </c>
      <c r="E22" s="118">
        <f ca="1">VLOOKUP(A22,'States by Mo'!$A$3:$AD$53,30,)</f>
        <v>2.1274999999999999</v>
      </c>
      <c r="F22" s="128">
        <f t="shared" ca="1" si="1"/>
        <v>3</v>
      </c>
      <c r="G22" s="118">
        <f>VLOOKUP(A22,template!$A$3:$P$53,8,)</f>
        <v>1.25</v>
      </c>
      <c r="H22" s="128">
        <f t="shared" ca="1" si="2"/>
        <v>1</v>
      </c>
      <c r="I22" s="125">
        <f ca="1">VLOOKUP(A22,'States by Mo'!$A$3:$BF$53,57,)</f>
        <v>1.3383333333333336</v>
      </c>
      <c r="J22" s="128">
        <f t="shared" ca="1" si="3"/>
        <v>1</v>
      </c>
    </row>
    <row r="23" spans="1:10" ht="12.75" customHeight="1" x14ac:dyDescent="0.3">
      <c r="A23" s="123" t="s">
        <v>15</v>
      </c>
      <c r="B23" s="124">
        <f>VLOOKUP(A23,template!$A$3:$P$53,15,)</f>
        <v>46113</v>
      </c>
      <c r="C23" s="127">
        <f>VLOOKUP(A23,template!$A$3:$P$53,7,)</f>
        <v>2.13</v>
      </c>
      <c r="D23" s="128">
        <f t="shared" ca="1" si="0"/>
        <v>3</v>
      </c>
      <c r="E23" s="118">
        <f ca="1">VLOOKUP(A23,'States by Mo'!$A$3:$AD$53,30,)</f>
        <v>2.3174999999999999</v>
      </c>
      <c r="F23" s="128">
        <f t="shared" ca="1" si="1"/>
        <v>5</v>
      </c>
      <c r="G23" s="118">
        <f>VLOOKUP(A23,template!$A$3:$P$53,8,)</f>
        <v>0.87</v>
      </c>
      <c r="H23" s="128">
        <f t="shared" ca="1" si="2"/>
        <v>7</v>
      </c>
      <c r="I23" s="125">
        <f ca="1">VLOOKUP(A23,'States by Mo'!$A$3:$BF$53,57,)</f>
        <v>0.90583333333333327</v>
      </c>
      <c r="J23" s="128">
        <f t="shared" ca="1" si="3"/>
        <v>5</v>
      </c>
    </row>
    <row r="24" spans="1:10" ht="12.75" customHeight="1" x14ac:dyDescent="0.3">
      <c r="A24" s="123" t="s">
        <v>31</v>
      </c>
      <c r="B24" s="124">
        <f>VLOOKUP(A24,template!$A$3:$P$53,15,)</f>
        <v>46113</v>
      </c>
      <c r="C24" s="127">
        <f>VLOOKUP(A24,template!$A$3:$P$53,7,)</f>
        <v>2.0299999999999998</v>
      </c>
      <c r="D24" s="128">
        <f t="shared" ca="1" si="0"/>
        <v>2</v>
      </c>
      <c r="E24" s="118">
        <f ca="1">VLOOKUP(A24,'States by Mo'!$A$3:$AD$53,30,)</f>
        <v>2.2525000000000004</v>
      </c>
      <c r="F24" s="128">
        <f t="shared" ca="1" si="1"/>
        <v>4</v>
      </c>
      <c r="G24" s="118">
        <f>VLOOKUP(A24,template!$A$3:$P$53,8,)</f>
        <v>0.91</v>
      </c>
      <c r="H24" s="128">
        <f t="shared" ca="1" si="2"/>
        <v>6</v>
      </c>
      <c r="I24" s="125">
        <f ca="1">VLOOKUP(A24,'States by Mo'!$A$3:$BF$53,57,)</f>
        <v>0.89749999999999996</v>
      </c>
      <c r="J24" s="128">
        <f t="shared" ca="1" si="3"/>
        <v>6</v>
      </c>
    </row>
    <row r="25" spans="1:10" ht="12.75" customHeight="1" x14ac:dyDescent="0.3">
      <c r="A25" s="123" t="s">
        <v>49</v>
      </c>
      <c r="B25" s="124">
        <f>VLOOKUP(A25,template!$A$3:$P$53,15,)</f>
        <v>46113</v>
      </c>
      <c r="C25" s="127">
        <f>VLOOKUP(A25,template!$A$3:$P$53,7,)</f>
        <v>1.78</v>
      </c>
      <c r="D25" s="128">
        <f t="shared" ca="1" si="0"/>
        <v>1</v>
      </c>
      <c r="E25" s="118">
        <f ca="1">VLOOKUP(A25,'States by Mo'!$A$3:$AD$53,30,)</f>
        <v>2.1225000000000001</v>
      </c>
      <c r="F25" s="128">
        <f t="shared" ca="1" si="1"/>
        <v>2</v>
      </c>
      <c r="G25" s="118">
        <f>VLOOKUP(A25,template!$A$3:$P$53,8,)</f>
        <v>0.77</v>
      </c>
      <c r="H25" s="128">
        <f t="shared" ca="1" si="2"/>
        <v>9</v>
      </c>
      <c r="I25" s="125">
        <f ca="1">VLOOKUP(A25,'States by Mo'!$A$3:$BF$53,57,)</f>
        <v>0.88083333333333347</v>
      </c>
      <c r="J25" s="128">
        <f t="shared" ca="1" si="3"/>
        <v>7</v>
      </c>
    </row>
    <row r="26" spans="1:10" ht="12.75" customHeight="1" x14ac:dyDescent="0.3">
      <c r="A26" s="123" t="s">
        <v>62</v>
      </c>
      <c r="B26" s="124">
        <f>VLOOKUP(A26,template!$A$3:$P$53,15,)</f>
        <v>46204</v>
      </c>
      <c r="C26" s="127">
        <f>VLOOKUP(A26,template!$A$3:$P$53,7,)</f>
        <v>5.85</v>
      </c>
      <c r="D26" s="128">
        <f t="shared" ca="1" si="0"/>
        <v>26</v>
      </c>
      <c r="E26" s="118">
        <f ca="1">VLOOKUP(A26,'States by Mo'!$A$3:$AD$53,30,)</f>
        <v>5.5158333333333331</v>
      </c>
      <c r="F26" s="128">
        <f t="shared" ca="1" si="1"/>
        <v>25</v>
      </c>
      <c r="G26" s="118">
        <f>VLOOKUP(A26,template!$A$3:$P$53,8,)</f>
        <v>1.02</v>
      </c>
      <c r="H26" s="128">
        <f t="shared" ca="1" si="2"/>
        <v>8</v>
      </c>
      <c r="I26" s="125">
        <f ca="1">VLOOKUP(A26,'States by Mo'!$A$3:$BF$53,57,)</f>
        <v>0.89166666666666672</v>
      </c>
      <c r="J26" s="128">
        <f t="shared" ca="1" si="3"/>
        <v>12</v>
      </c>
    </row>
    <row r="27" spans="1:10" ht="12.75" customHeight="1" x14ac:dyDescent="0.3">
      <c r="A27" s="123" t="s">
        <v>35</v>
      </c>
      <c r="B27" s="124">
        <f>VLOOKUP(A27,template!$A$3:$P$53,15,)</f>
        <v>46204</v>
      </c>
      <c r="C27" s="127">
        <f>VLOOKUP(A27,template!$A$3:$P$53,7,)</f>
        <v>5.47</v>
      </c>
      <c r="D27" s="128">
        <f t="shared" ca="1" si="0"/>
        <v>25</v>
      </c>
      <c r="E27" s="118">
        <f ca="1">VLOOKUP(A27,'States by Mo'!$A$3:$AD$53,30,)</f>
        <v>5.2491666666666665</v>
      </c>
      <c r="F27" s="128">
        <f t="shared" ca="1" si="1"/>
        <v>24</v>
      </c>
      <c r="G27" s="118">
        <f>VLOOKUP(A27,template!$A$3:$P$53,8,)</f>
        <v>1.26</v>
      </c>
      <c r="H27" s="128">
        <f t="shared" ca="1" si="2"/>
        <v>6</v>
      </c>
      <c r="I27" s="125">
        <f ca="1">VLOOKUP(A27,'States by Mo'!$A$3:$BF$53,57,)</f>
        <v>0.83583333333333332</v>
      </c>
      <c r="J27" s="128">
        <f t="shared" ca="1" si="3"/>
        <v>16</v>
      </c>
    </row>
    <row r="28" spans="1:10" ht="12.75" customHeight="1" x14ac:dyDescent="0.3">
      <c r="A28" s="123" t="s">
        <v>23</v>
      </c>
      <c r="B28" s="124">
        <f>VLOOKUP(A28,template!$A$3:$P$53,15,)</f>
        <v>46204</v>
      </c>
      <c r="C28" s="127">
        <f>VLOOKUP(A28,template!$A$3:$P$53,7,)</f>
        <v>5.41</v>
      </c>
      <c r="D28" s="128">
        <f t="shared" ca="1" si="0"/>
        <v>24</v>
      </c>
      <c r="E28" s="118">
        <f ca="1">VLOOKUP(A28,'States by Mo'!$A$3:$AD$53,30,)</f>
        <v>5.8283333333333331</v>
      </c>
      <c r="F28" s="128">
        <f t="shared" ca="1" si="1"/>
        <v>26</v>
      </c>
      <c r="G28" s="118">
        <f>VLOOKUP(A28,template!$A$3:$P$53,8,)</f>
        <v>0.97</v>
      </c>
      <c r="H28" s="128">
        <f t="shared" ca="1" si="2"/>
        <v>12</v>
      </c>
      <c r="I28" s="125">
        <f ca="1">VLOOKUP(A28,'States by Mo'!$A$3:$BF$53,57,)</f>
        <v>1.0066666666666668</v>
      </c>
      <c r="J28" s="128">
        <f t="shared" ca="1" si="3"/>
        <v>8</v>
      </c>
    </row>
    <row r="29" spans="1:10" ht="12.75" customHeight="1" x14ac:dyDescent="0.3">
      <c r="A29" s="123" t="s">
        <v>60</v>
      </c>
      <c r="B29" s="124">
        <f>VLOOKUP(A29,template!$A$3:$P$53,15,)</f>
        <v>46204</v>
      </c>
      <c r="C29" s="127">
        <f>VLOOKUP(A29,template!$A$3:$P$53,7,)</f>
        <v>4.6900000000000004</v>
      </c>
      <c r="D29" s="128">
        <f t="shared" ca="1" si="0"/>
        <v>23</v>
      </c>
      <c r="E29" s="118">
        <f ca="1">VLOOKUP(A29,'States by Mo'!$A$3:$AD$53,30,)</f>
        <v>4.1183333333333332</v>
      </c>
      <c r="F29" s="128">
        <f t="shared" ca="1" si="1"/>
        <v>21</v>
      </c>
      <c r="G29" s="118">
        <f>VLOOKUP(A29,template!$A$3:$P$53,8,)</f>
        <v>0.73</v>
      </c>
      <c r="H29" s="128">
        <f t="shared" ca="1" si="2"/>
        <v>20</v>
      </c>
      <c r="I29" s="125">
        <f ca="1">VLOOKUP(A29,'States by Mo'!$A$3:$BF$53,57,)</f>
        <v>0.68166666666666675</v>
      </c>
      <c r="J29" s="128">
        <f t="shared" ca="1" si="3"/>
        <v>25</v>
      </c>
    </row>
    <row r="30" spans="1:10" ht="12.75" customHeight="1" x14ac:dyDescent="0.3">
      <c r="A30" s="123" t="s">
        <v>40</v>
      </c>
      <c r="B30" s="124">
        <f>VLOOKUP(A30,template!$A$3:$P$53,15,)</f>
        <v>46204</v>
      </c>
      <c r="C30" s="127">
        <f>VLOOKUP(A30,template!$A$3:$P$53,7,)</f>
        <v>4.6500000000000004</v>
      </c>
      <c r="D30" s="128">
        <f t="shared" ca="1" si="0"/>
        <v>22</v>
      </c>
      <c r="E30" s="118">
        <f ca="1">VLOOKUP(A30,'States by Mo'!$A$3:$AD$53,30,)</f>
        <v>4.1449999999999996</v>
      </c>
      <c r="F30" s="128">
        <f t="shared" ca="1" si="1"/>
        <v>22</v>
      </c>
      <c r="G30" s="118">
        <f>VLOOKUP(A30,template!$A$3:$P$53,8,)</f>
        <v>0.79</v>
      </c>
      <c r="H30" s="128">
        <f t="shared" ca="1" si="2"/>
        <v>18</v>
      </c>
      <c r="I30" s="125">
        <f ca="1">VLOOKUP(A30,'States by Mo'!$A$3:$BF$53,57,)</f>
        <v>0.61499999999999999</v>
      </c>
      <c r="J30" s="128">
        <f t="shared" ca="1" si="3"/>
        <v>26</v>
      </c>
    </row>
    <row r="31" spans="1:10" ht="12.75" customHeight="1" x14ac:dyDescent="0.3">
      <c r="A31" s="123" t="s">
        <v>16</v>
      </c>
      <c r="B31" s="124">
        <f>VLOOKUP(A31,template!$A$3:$P$53,15,)</f>
        <v>46204</v>
      </c>
      <c r="C31" s="127">
        <f>VLOOKUP(A31,template!$A$3:$P$53,7,)</f>
        <v>4.54</v>
      </c>
      <c r="D31" s="128">
        <f t="shared" ca="1" si="0"/>
        <v>21</v>
      </c>
      <c r="E31" s="118">
        <f ca="1">VLOOKUP(A31,'States by Mo'!$A$3:$AD$53,30,)</f>
        <v>3.8533333333333331</v>
      </c>
      <c r="F31" s="128">
        <f t="shared" ca="1" si="1"/>
        <v>19</v>
      </c>
      <c r="G31" s="118">
        <f>VLOOKUP(A31,template!$A$3:$P$53,8,)</f>
        <v>0.89</v>
      </c>
      <c r="H31" s="128">
        <f t="shared" ca="1" si="2"/>
        <v>15</v>
      </c>
      <c r="I31" s="125">
        <f ca="1">VLOOKUP(A31,'States by Mo'!$A$3:$BF$53,57,)</f>
        <v>0.71916666666666662</v>
      </c>
      <c r="J31" s="128">
        <f t="shared" ca="1" si="3"/>
        <v>24</v>
      </c>
    </row>
    <row r="32" spans="1:10" ht="12.75" customHeight="1" x14ac:dyDescent="0.3">
      <c r="A32" s="123" t="s">
        <v>52</v>
      </c>
      <c r="B32" s="124">
        <f>VLOOKUP(A32,template!$A$3:$P$53,15,)</f>
        <v>46204</v>
      </c>
      <c r="C32" s="127">
        <f>VLOOKUP(A32,template!$A$3:$P$53,7,)</f>
        <v>4.5199999999999996</v>
      </c>
      <c r="D32" s="128">
        <f t="shared" ca="1" si="0"/>
        <v>20</v>
      </c>
      <c r="E32" s="118">
        <f ca="1">VLOOKUP(A32,'States by Mo'!$A$3:$AD$53,30,)</f>
        <v>4.1466666666666656</v>
      </c>
      <c r="F32" s="128">
        <f t="shared" ca="1" si="1"/>
        <v>23</v>
      </c>
      <c r="G32" s="118">
        <f>VLOOKUP(A32,template!$A$3:$P$53,8,)</f>
        <v>1.18</v>
      </c>
      <c r="H32" s="128">
        <f t="shared" ca="1" si="2"/>
        <v>7</v>
      </c>
      <c r="I32" s="125">
        <f ca="1">VLOOKUP(A32,'States by Mo'!$A$3:$BF$53,57,)</f>
        <v>1.0024999999999999</v>
      </c>
      <c r="J32" s="128">
        <f t="shared" ca="1" si="3"/>
        <v>9</v>
      </c>
    </row>
    <row r="33" spans="1:10" ht="12.75" customHeight="1" x14ac:dyDescent="0.3">
      <c r="A33" s="123" t="s">
        <v>47</v>
      </c>
      <c r="B33" s="124">
        <f>VLOOKUP(A33,template!$A$3:$P$53,15,)</f>
        <v>46204</v>
      </c>
      <c r="C33" s="127">
        <f>VLOOKUP(A33,template!$A$3:$P$53,7,)</f>
        <v>3.85</v>
      </c>
      <c r="D33" s="128">
        <f t="shared" ca="1" si="0"/>
        <v>19</v>
      </c>
      <c r="E33" s="118">
        <f ca="1">VLOOKUP(A33,'States by Mo'!$A$3:$AD$53,30,)</f>
        <v>3.6058333333333343</v>
      </c>
      <c r="F33" s="128">
        <f t="shared" ca="1" si="1"/>
        <v>18</v>
      </c>
      <c r="G33" s="118">
        <f>VLOOKUP(A33,template!$A$3:$P$53,8,)</f>
        <v>1.94</v>
      </c>
      <c r="H33" s="128">
        <f t="shared" ca="1" si="2"/>
        <v>1</v>
      </c>
      <c r="I33" s="125">
        <f ca="1">VLOOKUP(A33,'States by Mo'!$A$3:$BF$53,57,)</f>
        <v>1.5033333333333332</v>
      </c>
      <c r="J33" s="128">
        <f t="shared" ca="1" si="3"/>
        <v>2</v>
      </c>
    </row>
    <row r="34" spans="1:10" ht="12.75" customHeight="1" x14ac:dyDescent="0.3">
      <c r="A34" s="123" t="s">
        <v>30</v>
      </c>
      <c r="B34" s="124">
        <f>VLOOKUP(A34,template!$A$3:$P$53,15,)</f>
        <v>46204</v>
      </c>
      <c r="C34" s="127">
        <f>VLOOKUP(A34,template!$A$3:$P$53,7,)</f>
        <v>3.76</v>
      </c>
      <c r="D34" s="128">
        <f t="shared" ca="1" si="0"/>
        <v>18</v>
      </c>
      <c r="E34" s="118">
        <f ca="1">VLOOKUP(A34,'States by Mo'!$A$3:$AD$53,30,)</f>
        <v>4.1166666666666663</v>
      </c>
      <c r="F34" s="128">
        <f t="shared" ca="1" si="1"/>
        <v>20</v>
      </c>
      <c r="G34" s="118">
        <f>VLOOKUP(A34,template!$A$3:$P$53,8,)</f>
        <v>0.75</v>
      </c>
      <c r="H34" s="128">
        <f t="shared" ca="1" si="2"/>
        <v>19</v>
      </c>
      <c r="I34" s="125">
        <f ca="1">VLOOKUP(A34,'States by Mo'!$A$3:$BF$53,57,)</f>
        <v>0.8075</v>
      </c>
      <c r="J34" s="128">
        <f t="shared" ca="1" si="3"/>
        <v>18</v>
      </c>
    </row>
    <row r="35" spans="1:10" ht="12.75" customHeight="1" x14ac:dyDescent="0.3">
      <c r="A35" s="123" t="s">
        <v>21</v>
      </c>
      <c r="B35" s="124">
        <f>VLOOKUP(A35,template!$A$3:$P$53,15,)</f>
        <v>46204</v>
      </c>
      <c r="C35" s="127">
        <f>VLOOKUP(A35,template!$A$3:$P$53,7,)</f>
        <v>3.58</v>
      </c>
      <c r="D35" s="128">
        <f t="shared" ref="D35:D66" ca="1" si="4">RANK(C35,INDIRECT("C"&amp;MATCH(B35,B$1:B$52,0)&amp;":C"&amp;MATCH(B35,B$1:B$52)),1)</f>
        <v>17</v>
      </c>
      <c r="E35" s="118">
        <f ca="1">VLOOKUP(A35,'States by Mo'!$A$3:$AD$53,30,)</f>
        <v>2.9075000000000002</v>
      </c>
      <c r="F35" s="128">
        <f t="shared" ref="F35:F66" ca="1" si="5">RANK(E35,INDIRECT("E"&amp;MATCH(B35,B$1:B$52,0)&amp;":E"&amp;MATCH(B35,B$1:B$52)),1)</f>
        <v>11</v>
      </c>
      <c r="G35" s="118">
        <f>VLOOKUP(A35,template!$A$3:$P$53,8,)</f>
        <v>0.86</v>
      </c>
      <c r="H35" s="128">
        <f t="shared" ref="H35:H66" ca="1" si="6">RANK(G35,INDIRECT("G"&amp;MATCH(B35,B$1:B$52,0)&amp;":G"&amp;MATCH(B35,B$1:B$52)),)</f>
        <v>17</v>
      </c>
      <c r="I35" s="125">
        <f ca="1">VLOOKUP(A35,'States by Mo'!$A$3:$BF$53,57,)</f>
        <v>0.8224999999999999</v>
      </c>
      <c r="J35" s="128">
        <f t="shared" ref="J35:J66" ca="1" si="7">RANK(I35,INDIRECT("I"&amp;MATCH(B35,B$1:B$52,0)&amp;":I"&amp;MATCH(B35,B$1:B$52)),)</f>
        <v>17</v>
      </c>
    </row>
    <row r="36" spans="1:10" ht="12.75" customHeight="1" x14ac:dyDescent="0.3">
      <c r="A36" s="123" t="s">
        <v>33</v>
      </c>
      <c r="B36" s="124">
        <f>VLOOKUP(A36,template!$A$3:$P$53,15,)</f>
        <v>46204</v>
      </c>
      <c r="C36" s="127">
        <f>VLOOKUP(A36,template!$A$3:$P$53,7,)</f>
        <v>3.47</v>
      </c>
      <c r="D36" s="128">
        <f t="shared" ca="1" si="4"/>
        <v>15</v>
      </c>
      <c r="E36" s="118">
        <f ca="1">VLOOKUP(A36,'States by Mo'!$A$3:$AD$53,30,)</f>
        <v>2.9116666666666666</v>
      </c>
      <c r="F36" s="128">
        <f t="shared" ca="1" si="5"/>
        <v>12</v>
      </c>
      <c r="G36" s="118">
        <f>VLOOKUP(A36,template!$A$3:$P$53,8,)</f>
        <v>1.3</v>
      </c>
      <c r="H36" s="128">
        <f t="shared" ca="1" si="6"/>
        <v>5</v>
      </c>
      <c r="I36" s="125">
        <f ca="1">VLOOKUP(A36,'States by Mo'!$A$3:$BF$53,57,)</f>
        <v>1.1325000000000001</v>
      </c>
      <c r="J36" s="128">
        <f t="shared" ca="1" si="7"/>
        <v>6</v>
      </c>
    </row>
    <row r="37" spans="1:10" ht="12.75" customHeight="1" x14ac:dyDescent="0.3">
      <c r="A37" s="123" t="s">
        <v>56</v>
      </c>
      <c r="B37" s="124">
        <f>VLOOKUP(A37,template!$A$3:$P$53,15,)</f>
        <v>46204</v>
      </c>
      <c r="C37" s="127">
        <f>VLOOKUP(A37,template!$A$3:$P$53,7,)</f>
        <v>3.47</v>
      </c>
      <c r="D37" s="128">
        <f t="shared" ca="1" si="4"/>
        <v>15</v>
      </c>
      <c r="E37" s="118">
        <f ca="1">VLOOKUP(A37,'States by Mo'!$A$3:$AD$53,30,)</f>
        <v>2.9741666666666666</v>
      </c>
      <c r="F37" s="128">
        <f t="shared" ca="1" si="5"/>
        <v>13</v>
      </c>
      <c r="G37" s="118">
        <f>VLOOKUP(A37,template!$A$3:$P$53,8,)</f>
        <v>0.73</v>
      </c>
      <c r="H37" s="128">
        <f t="shared" ca="1" si="6"/>
        <v>20</v>
      </c>
      <c r="I37" s="125">
        <f ca="1">VLOOKUP(A37,'States by Mo'!$A$3:$BF$53,57,)</f>
        <v>0.80583333333333351</v>
      </c>
      <c r="J37" s="128">
        <f t="shared" ca="1" si="7"/>
        <v>19</v>
      </c>
    </row>
    <row r="38" spans="1:10" ht="12.75" customHeight="1" x14ac:dyDescent="0.3">
      <c r="A38" s="123" t="s">
        <v>43</v>
      </c>
      <c r="B38" s="124">
        <f>VLOOKUP(A38,template!$A$3:$P$53,15,)</f>
        <v>46204</v>
      </c>
      <c r="C38" s="127">
        <f>VLOOKUP(A38,template!$A$3:$P$53,7,)</f>
        <v>3.33</v>
      </c>
      <c r="D38" s="128">
        <f t="shared" ca="1" si="4"/>
        <v>14</v>
      </c>
      <c r="E38" s="118">
        <f ca="1">VLOOKUP(A38,'States by Mo'!$A$3:$AD$53,30,)</f>
        <v>3.5325000000000002</v>
      </c>
      <c r="F38" s="128">
        <f t="shared" ca="1" si="5"/>
        <v>17</v>
      </c>
      <c r="G38" s="118">
        <f>VLOOKUP(A38,template!$A$3:$P$53,8,)</f>
        <v>0.64</v>
      </c>
      <c r="H38" s="128">
        <f t="shared" ca="1" si="6"/>
        <v>23</v>
      </c>
      <c r="I38" s="125">
        <f ca="1">VLOOKUP(A38,'States by Mo'!$A$3:$BF$53,57,)</f>
        <v>0.78583333333333361</v>
      </c>
      <c r="J38" s="128">
        <f t="shared" ca="1" si="7"/>
        <v>22</v>
      </c>
    </row>
    <row r="39" spans="1:10" ht="12.75" customHeight="1" x14ac:dyDescent="0.3">
      <c r="A39" s="123" t="s">
        <v>53</v>
      </c>
      <c r="B39" s="124">
        <f>VLOOKUP(A39,template!$A$3:$P$53,15,)</f>
        <v>46204</v>
      </c>
      <c r="C39" s="127">
        <f>VLOOKUP(A39,template!$A$3:$P$53,7,)</f>
        <v>3.22</v>
      </c>
      <c r="D39" s="128">
        <f t="shared" ca="1" si="4"/>
        <v>13</v>
      </c>
      <c r="E39" s="118">
        <f ca="1">VLOOKUP(A39,'States by Mo'!$A$3:$AD$53,30,)</f>
        <v>3.2666666666666662</v>
      </c>
      <c r="F39" s="128">
        <f t="shared" ca="1" si="5"/>
        <v>15</v>
      </c>
      <c r="G39" s="118">
        <f>VLOOKUP(A39,template!$A$3:$P$53,8,)</f>
        <v>0.88</v>
      </c>
      <c r="H39" s="128">
        <f t="shared" ca="1" si="6"/>
        <v>16</v>
      </c>
      <c r="I39" s="125">
        <f ca="1">VLOOKUP(A39,'States by Mo'!$A$3:$BF$53,57,)</f>
        <v>1.3466666666666665</v>
      </c>
      <c r="J39" s="128">
        <f t="shared" ca="1" si="7"/>
        <v>4</v>
      </c>
    </row>
    <row r="40" spans="1:10" ht="12.75" customHeight="1" x14ac:dyDescent="0.3">
      <c r="A40" s="123" t="s">
        <v>61</v>
      </c>
      <c r="B40" s="124">
        <f>VLOOKUP(A40,template!$A$3:$P$53,15,)</f>
        <v>46204</v>
      </c>
      <c r="C40" s="127">
        <f>VLOOKUP(A40,template!$A$3:$P$53,7,)</f>
        <v>3.13</v>
      </c>
      <c r="D40" s="128">
        <f t="shared" ca="1" si="4"/>
        <v>12</v>
      </c>
      <c r="E40" s="118">
        <f ca="1">VLOOKUP(A40,'States by Mo'!$A$3:$AD$53,30,)</f>
        <v>2.7183333333333337</v>
      </c>
      <c r="F40" s="128">
        <f t="shared" ca="1" si="5"/>
        <v>9</v>
      </c>
      <c r="G40" s="118">
        <f>VLOOKUP(A40,template!$A$3:$P$53,8,)</f>
        <v>1.02</v>
      </c>
      <c r="H40" s="128">
        <f t="shared" ca="1" si="6"/>
        <v>8</v>
      </c>
      <c r="I40" s="125">
        <f ca="1">VLOOKUP(A40,'States by Mo'!$A$3:$BF$53,57,)</f>
        <v>0.86416666666666675</v>
      </c>
      <c r="J40" s="128">
        <f t="shared" ca="1" si="7"/>
        <v>13</v>
      </c>
    </row>
    <row r="41" spans="1:10" ht="12.75" customHeight="1" x14ac:dyDescent="0.3">
      <c r="A41" s="123" t="s">
        <v>27</v>
      </c>
      <c r="B41" s="124">
        <f>VLOOKUP(A41,template!$A$3:$P$53,15,)</f>
        <v>46204</v>
      </c>
      <c r="C41" s="127">
        <f>VLOOKUP(A41,template!$A$3:$P$53,7,)</f>
        <v>3.06</v>
      </c>
      <c r="D41" s="128">
        <f t="shared" ca="1" si="4"/>
        <v>11</v>
      </c>
      <c r="E41" s="118">
        <f ca="1">VLOOKUP(A41,'States by Mo'!$A$3:$AD$53,30,)</f>
        <v>2.645833333333333</v>
      </c>
      <c r="F41" s="128">
        <f t="shared" ca="1" si="5"/>
        <v>7</v>
      </c>
      <c r="G41" s="118">
        <f>VLOOKUP(A41,template!$A$3:$P$53,8,)</f>
        <v>0.9</v>
      </c>
      <c r="H41" s="128">
        <f t="shared" ca="1" si="6"/>
        <v>14</v>
      </c>
      <c r="I41" s="125">
        <f ca="1">VLOOKUP(A41,'States by Mo'!$A$3:$BF$53,57,)</f>
        <v>0.77</v>
      </c>
      <c r="J41" s="128">
        <f t="shared" ca="1" si="7"/>
        <v>23</v>
      </c>
    </row>
    <row r="42" spans="1:10" ht="12.75" customHeight="1" x14ac:dyDescent="0.3">
      <c r="A42" s="123" t="s">
        <v>59</v>
      </c>
      <c r="B42" s="124">
        <f>VLOOKUP(A42,template!$A$3:$P$53,15,)</f>
        <v>46204</v>
      </c>
      <c r="C42" s="127">
        <f>VLOOKUP(A42,template!$A$3:$P$53,7,)</f>
        <v>3.04</v>
      </c>
      <c r="D42" s="128">
        <f t="shared" ca="1" si="4"/>
        <v>10</v>
      </c>
      <c r="E42" s="118">
        <f ca="1">VLOOKUP(A42,'States by Mo'!$A$3:$AD$53,30,)</f>
        <v>2.3958333333333335</v>
      </c>
      <c r="F42" s="128">
        <f t="shared" ca="1" si="5"/>
        <v>6</v>
      </c>
      <c r="G42" s="118">
        <f>VLOOKUP(A42,template!$A$3:$P$53,8,)</f>
        <v>0.63</v>
      </c>
      <c r="H42" s="128">
        <f t="shared" ca="1" si="6"/>
        <v>24</v>
      </c>
      <c r="I42" s="125">
        <f ca="1">VLOOKUP(A42,'States by Mo'!$A$3:$BF$53,57,)</f>
        <v>0.86000000000000021</v>
      </c>
      <c r="J42" s="128">
        <f t="shared" ca="1" si="7"/>
        <v>14</v>
      </c>
    </row>
    <row r="43" spans="1:10" ht="12.75" customHeight="1" x14ac:dyDescent="0.3">
      <c r="A43" s="123" t="s">
        <v>24</v>
      </c>
      <c r="B43" s="124">
        <f>VLOOKUP(A43,template!$A$3:$P$53,15,)</f>
        <v>46204</v>
      </c>
      <c r="C43" s="127">
        <f>VLOOKUP(A43,template!$A$3:$P$53,7,)</f>
        <v>2.77</v>
      </c>
      <c r="D43" s="128">
        <f t="shared" ca="1" si="4"/>
        <v>9</v>
      </c>
      <c r="E43" s="118">
        <f ca="1">VLOOKUP(A43,'States by Mo'!$A$3:$AD$53,30,)</f>
        <v>3.0900000000000003</v>
      </c>
      <c r="F43" s="128">
        <f t="shared" ca="1" si="5"/>
        <v>14</v>
      </c>
      <c r="G43" s="118">
        <f>VLOOKUP(A43,template!$A$3:$P$53,8,)</f>
        <v>0.59</v>
      </c>
      <c r="H43" s="128">
        <f t="shared" ca="1" si="6"/>
        <v>25</v>
      </c>
      <c r="I43" s="125">
        <f ca="1">VLOOKUP(A43,'States by Mo'!$A$3:$BF$53,57,)</f>
        <v>0.8025000000000001</v>
      </c>
      <c r="J43" s="128">
        <f t="shared" ca="1" si="7"/>
        <v>20</v>
      </c>
    </row>
    <row r="44" spans="1:10" ht="12.75" customHeight="1" x14ac:dyDescent="0.3">
      <c r="A44" s="123" t="s">
        <v>19</v>
      </c>
      <c r="B44" s="124">
        <f>VLOOKUP(A44,template!$A$3:$P$53,15,)</f>
        <v>46204</v>
      </c>
      <c r="C44" s="127">
        <f>VLOOKUP(A44,template!$A$3:$P$53,7,)</f>
        <v>2.63</v>
      </c>
      <c r="D44" s="128">
        <f t="shared" ca="1" si="4"/>
        <v>8</v>
      </c>
      <c r="E44" s="118">
        <f ca="1">VLOOKUP(A44,'States by Mo'!$A$3:$AD$53,30,)</f>
        <v>3.3533333333333335</v>
      </c>
      <c r="F44" s="128">
        <f t="shared" ca="1" si="5"/>
        <v>16</v>
      </c>
      <c r="G44" s="118">
        <f>VLOOKUP(A44,template!$A$3:$P$53,8,)</f>
        <v>1.78</v>
      </c>
      <c r="H44" s="128">
        <f t="shared" ca="1" si="6"/>
        <v>2</v>
      </c>
      <c r="I44" s="125">
        <f ca="1">VLOOKUP(A44,'States by Mo'!$A$3:$BF$53,57,)</f>
        <v>1.4916666666666665</v>
      </c>
      <c r="J44" s="128">
        <f t="shared" ca="1" si="7"/>
        <v>3</v>
      </c>
    </row>
    <row r="45" spans="1:10" ht="12.75" customHeight="1" x14ac:dyDescent="0.3">
      <c r="A45" s="123" t="s">
        <v>37</v>
      </c>
      <c r="B45" s="124">
        <f>VLOOKUP(A45,template!$A$3:$P$53,15,)</f>
        <v>46204</v>
      </c>
      <c r="C45" s="127">
        <f>VLOOKUP(A45,template!$A$3:$P$53,7,)</f>
        <v>2.59</v>
      </c>
      <c r="D45" s="128">
        <f t="shared" ca="1" si="4"/>
        <v>7</v>
      </c>
      <c r="E45" s="118">
        <f ca="1">VLOOKUP(A45,'States by Mo'!$A$3:$AD$53,30,)</f>
        <v>2.7958333333333329</v>
      </c>
      <c r="F45" s="128">
        <f t="shared" ca="1" si="5"/>
        <v>10</v>
      </c>
      <c r="G45" s="118">
        <f>VLOOKUP(A45,template!$A$3:$P$53,8,)</f>
        <v>1</v>
      </c>
      <c r="H45" s="128">
        <f t="shared" ca="1" si="6"/>
        <v>10</v>
      </c>
      <c r="I45" s="125">
        <f ca="1">VLOOKUP(A45,'States by Mo'!$A$3:$BF$53,57,)</f>
        <v>0.83666666666666678</v>
      </c>
      <c r="J45" s="128">
        <f t="shared" ca="1" si="7"/>
        <v>15</v>
      </c>
    </row>
    <row r="46" spans="1:10" ht="12.75" customHeight="1" x14ac:dyDescent="0.3">
      <c r="A46" s="123" t="s">
        <v>18</v>
      </c>
      <c r="B46" s="124">
        <f>VLOOKUP(A46,template!$A$3:$P$53,15,)</f>
        <v>46204</v>
      </c>
      <c r="C46" s="127">
        <f>VLOOKUP(A46,template!$A$3:$P$53,7,)</f>
        <v>2.4700000000000002</v>
      </c>
      <c r="D46" s="128">
        <f t="shared" ca="1" si="4"/>
        <v>6</v>
      </c>
      <c r="E46" s="118">
        <f ca="1">VLOOKUP(A46,'States by Mo'!$A$3:$AD$53,30,)</f>
        <v>2.6541666666666668</v>
      </c>
      <c r="F46" s="128">
        <f t="shared" ca="1" si="5"/>
        <v>8</v>
      </c>
      <c r="G46" s="118">
        <f>VLOOKUP(A46,template!$A$3:$P$53,8,)</f>
        <v>1.44</v>
      </c>
      <c r="H46" s="128">
        <f t="shared" ca="1" si="6"/>
        <v>4</v>
      </c>
      <c r="I46" s="125">
        <f ca="1">VLOOKUP(A46,'States by Mo'!$A$3:$BF$53,57,)</f>
        <v>1.55</v>
      </c>
      <c r="J46" s="128">
        <f t="shared" ca="1" si="7"/>
        <v>1</v>
      </c>
    </row>
    <row r="47" spans="1:10" ht="12.75" customHeight="1" x14ac:dyDescent="0.3">
      <c r="A47" s="123" t="s">
        <v>17</v>
      </c>
      <c r="B47" s="124">
        <f>VLOOKUP(A47,template!$A$3:$P$53,15,)</f>
        <v>46204</v>
      </c>
      <c r="C47" s="127">
        <f>VLOOKUP(A47,template!$A$3:$P$53,7,)</f>
        <v>2.33</v>
      </c>
      <c r="D47" s="128">
        <f t="shared" ca="1" si="4"/>
        <v>5</v>
      </c>
      <c r="E47" s="118">
        <f ca="1">VLOOKUP(A47,'States by Mo'!$A$3:$AD$53,30,)</f>
        <v>1.8758333333333332</v>
      </c>
      <c r="F47" s="128">
        <f t="shared" ca="1" si="5"/>
        <v>3</v>
      </c>
      <c r="G47" s="118">
        <f>VLOOKUP(A47,template!$A$3:$P$53,8,)</f>
        <v>0.98</v>
      </c>
      <c r="H47" s="128">
        <f t="shared" ca="1" si="6"/>
        <v>11</v>
      </c>
      <c r="I47" s="125">
        <f ca="1">VLOOKUP(A47,'States by Mo'!$A$3:$BF$53,57,)</f>
        <v>1.1166666666666665</v>
      </c>
      <c r="J47" s="128">
        <f t="shared" ca="1" si="7"/>
        <v>7</v>
      </c>
    </row>
    <row r="48" spans="1:10" ht="12.75" customHeight="1" x14ac:dyDescent="0.3">
      <c r="A48" s="123" t="s">
        <v>58</v>
      </c>
      <c r="B48" s="124">
        <f>VLOOKUP(A48,template!$A$3:$P$53,15,)</f>
        <v>46204</v>
      </c>
      <c r="C48" s="127">
        <f>VLOOKUP(A48,template!$A$3:$P$53,7,)</f>
        <v>2.21</v>
      </c>
      <c r="D48" s="128">
        <f t="shared" ca="1" si="4"/>
        <v>4</v>
      </c>
      <c r="E48" s="118">
        <f ca="1">VLOOKUP(A48,'States by Mo'!$A$3:$AD$53,30,)</f>
        <v>1.509166666666667</v>
      </c>
      <c r="F48" s="128">
        <f t="shared" ca="1" si="5"/>
        <v>2</v>
      </c>
      <c r="G48" s="118">
        <f>VLOOKUP(A48,template!$A$3:$P$53,8,)</f>
        <v>0.67</v>
      </c>
      <c r="H48" s="128">
        <f t="shared" ca="1" si="6"/>
        <v>22</v>
      </c>
      <c r="I48" s="125">
        <f ca="1">VLOOKUP(A48,'States by Mo'!$A$3:$BF$53,57,)</f>
        <v>0.89500000000000002</v>
      </c>
      <c r="J48" s="128">
        <f t="shared" ca="1" si="7"/>
        <v>11</v>
      </c>
    </row>
    <row r="49" spans="1:10" ht="12.75" customHeight="1" x14ac:dyDescent="0.3">
      <c r="A49" s="123" t="s">
        <v>41</v>
      </c>
      <c r="B49" s="124">
        <f>VLOOKUP(A49,template!$A$3:$P$53,15,)</f>
        <v>46204</v>
      </c>
      <c r="C49" s="127">
        <f>VLOOKUP(A49,template!$A$3:$P$53,7,)</f>
        <v>2.19</v>
      </c>
      <c r="D49" s="128">
        <f t="shared" ca="1" si="4"/>
        <v>3</v>
      </c>
      <c r="E49" s="118">
        <f ca="1">VLOOKUP(A49,'States by Mo'!$A$3:$AD$53,30,)</f>
        <v>1.9675000000000002</v>
      </c>
      <c r="F49" s="128">
        <f t="shared" ca="1" si="5"/>
        <v>4</v>
      </c>
      <c r="G49" s="118">
        <f>VLOOKUP(A49,template!$A$3:$P$53,8,)</f>
        <v>1.7</v>
      </c>
      <c r="H49" s="128">
        <f t="shared" ca="1" si="6"/>
        <v>3</v>
      </c>
      <c r="I49" s="125">
        <f ca="1">VLOOKUP(A49,'States by Mo'!$A$3:$BF$53,57,)</f>
        <v>1.2683333333333333</v>
      </c>
      <c r="J49" s="128">
        <f t="shared" ca="1" si="7"/>
        <v>5</v>
      </c>
    </row>
    <row r="50" spans="1:10" ht="12.75" customHeight="1" x14ac:dyDescent="0.3">
      <c r="A50" s="123" t="s">
        <v>22</v>
      </c>
      <c r="B50" s="124">
        <f>VLOOKUP(A50,template!$A$3:$P$53,15,)</f>
        <v>46204</v>
      </c>
      <c r="C50" s="127">
        <f>VLOOKUP(A50,template!$A$3:$P$53,7,)</f>
        <v>2.0699999999999998</v>
      </c>
      <c r="D50" s="128">
        <f t="shared" ca="1" si="4"/>
        <v>2</v>
      </c>
      <c r="E50" s="118">
        <f ca="1">VLOOKUP(A50,'States by Mo'!$A$3:$AD$53,30,)</f>
        <v>1.2075</v>
      </c>
      <c r="F50" s="128">
        <f t="shared" ca="1" si="5"/>
        <v>1</v>
      </c>
      <c r="G50" s="118">
        <f>VLOOKUP(A50,template!$A$3:$P$53,8,)</f>
        <v>0.59</v>
      </c>
      <c r="H50" s="128">
        <f t="shared" ca="1" si="6"/>
        <v>25</v>
      </c>
      <c r="I50" s="125">
        <f ca="1">VLOOKUP(A50,'States by Mo'!$A$3:$BF$53,57,)</f>
        <v>0.79500000000000004</v>
      </c>
      <c r="J50" s="128">
        <f t="shared" ca="1" si="7"/>
        <v>21</v>
      </c>
    </row>
    <row r="51" spans="1:10" ht="12.75" customHeight="1" x14ac:dyDescent="0.3">
      <c r="A51" s="123" t="s">
        <v>48</v>
      </c>
      <c r="B51" s="124">
        <f>VLOOKUP(A51,template!$A$3:$P$53,15,)</f>
        <v>46204</v>
      </c>
      <c r="C51" s="127">
        <f>VLOOKUP(A51,template!$A$3:$P$53,7,)</f>
        <v>1.6</v>
      </c>
      <c r="D51" s="128">
        <f t="shared" ca="1" si="4"/>
        <v>1</v>
      </c>
      <c r="E51" s="118">
        <f ca="1">VLOOKUP(A51,'States by Mo'!$A$3:$AD$53,30,)</f>
        <v>2.0158333333333336</v>
      </c>
      <c r="F51" s="128">
        <f t="shared" ca="1" si="5"/>
        <v>5</v>
      </c>
      <c r="G51" s="118">
        <f>VLOOKUP(A51,template!$A$3:$P$53,8,)</f>
        <v>0.92</v>
      </c>
      <c r="H51" s="128">
        <f t="shared" ca="1" si="6"/>
        <v>13</v>
      </c>
      <c r="I51" s="125">
        <f ca="1">VLOOKUP(A51,'States by Mo'!$A$3:$BF$53,57,)</f>
        <v>0.94249999999999989</v>
      </c>
      <c r="J51" s="128">
        <f t="shared" ca="1" si="7"/>
        <v>10</v>
      </c>
    </row>
    <row r="52" spans="1:10" ht="12.75" customHeight="1" x14ac:dyDescent="0.3">
      <c r="A52" s="123" t="s">
        <v>57</v>
      </c>
      <c r="B52" s="124">
        <f>VLOOKUP(A52,template!$A$3:$P$53,15,)</f>
        <v>46266</v>
      </c>
      <c r="C52" s="127">
        <f>VLOOKUP(A52,template!$A$3:$P$53,7,)</f>
        <v>2.14</v>
      </c>
      <c r="D52" s="128">
        <f t="shared" ca="1" si="4"/>
        <v>1</v>
      </c>
      <c r="E52" s="118">
        <f ca="1">VLOOKUP(A52,'States by Mo'!$A$3:$AD$53,30,)</f>
        <v>2.5558333333333336</v>
      </c>
      <c r="F52" s="128">
        <f t="shared" ca="1" si="5"/>
        <v>1</v>
      </c>
      <c r="G52" s="118">
        <f>VLOOKUP(A52,template!$A$3:$P$53,8,)</f>
        <v>0.83</v>
      </c>
      <c r="H52" s="128">
        <f t="shared" ca="1" si="6"/>
        <v>1</v>
      </c>
      <c r="I52" s="125">
        <f ca="1">VLOOKUP(A52,'States by Mo'!$A$3:$BF$53,57,)</f>
        <v>0.91499999999999992</v>
      </c>
      <c r="J52" s="128">
        <f t="shared" ca="1" si="7"/>
        <v>1</v>
      </c>
    </row>
    <row r="53" spans="1:10" ht="12.75" customHeight="1" x14ac:dyDescent="0.3">
      <c r="A53" s="140"/>
      <c r="B53" s="142"/>
      <c r="C53" s="143"/>
      <c r="D53" s="144"/>
      <c r="E53" s="143"/>
      <c r="F53" s="144"/>
      <c r="G53" s="143"/>
      <c r="H53" s="144"/>
      <c r="I53" s="145"/>
      <c r="J53" s="144"/>
    </row>
    <row r="54" spans="1:10" ht="12.75" customHeight="1" x14ac:dyDescent="0.3"/>
    <row r="55" spans="1:10" ht="12.75" customHeight="1" x14ac:dyDescent="0.3"/>
    <row r="56" spans="1:10" ht="12.75" customHeight="1" x14ac:dyDescent="0.3"/>
    <row r="57" spans="1:10" ht="12.75" customHeight="1" x14ac:dyDescent="0.3"/>
    <row r="58" spans="1:10" ht="12.75" customHeight="1" x14ac:dyDescent="0.3"/>
    <row r="59" spans="1:10" ht="12.75" customHeight="1" x14ac:dyDescent="0.3"/>
    <row r="60" spans="1:10" ht="12.75" customHeight="1" x14ac:dyDescent="0.35">
      <c r="A60" s="175"/>
      <c r="B60" s="172"/>
      <c r="C60" s="141"/>
      <c r="D60" s="173"/>
      <c r="E60" s="194" t="s">
        <v>134</v>
      </c>
      <c r="F60" s="156"/>
      <c r="G60" s="174"/>
      <c r="H60" s="156"/>
      <c r="I60" s="171"/>
      <c r="J60" s="157" t="str">
        <f>template!$B$1</f>
        <v>09/30/2026</v>
      </c>
    </row>
    <row r="61" spans="1:10" ht="48" x14ac:dyDescent="0.3">
      <c r="A61" s="165" t="s">
        <v>0</v>
      </c>
      <c r="B61" s="166" t="s">
        <v>132</v>
      </c>
      <c r="C61" s="167" t="str">
        <f>"Ratio of Unexpended to Grant in "&amp;TEXT('LOCCS Import'!C1,"MMM")</f>
        <v>Ratio of Unexpended to Grant in Sep</v>
      </c>
      <c r="D61" s="168" t="s">
        <v>179</v>
      </c>
      <c r="E61" s="169" t="s">
        <v>180</v>
      </c>
      <c r="F61" s="170" t="s">
        <v>181</v>
      </c>
      <c r="G61" s="169" t="s">
        <v>182</v>
      </c>
      <c r="H61" s="170" t="s">
        <v>184</v>
      </c>
      <c r="I61" s="169" t="s">
        <v>183</v>
      </c>
      <c r="J61" s="170" t="s">
        <v>133</v>
      </c>
    </row>
    <row r="62" spans="1:10" ht="12.75" customHeight="1" x14ac:dyDescent="0.3">
      <c r="A62" s="154" t="s">
        <v>62</v>
      </c>
      <c r="B62" s="155">
        <f>VLOOKUP(A62,template!$A$3:$P$53,15,)</f>
        <v>46204</v>
      </c>
      <c r="C62" s="151">
        <f>VLOOKUP(A62,template!$A$3:$P$53,7,)</f>
        <v>5.85</v>
      </c>
      <c r="D62" s="156">
        <f t="shared" ref="D62:D93" si="8">RANK(C62,$C$62:$C$111,1)</f>
        <v>50</v>
      </c>
      <c r="E62" s="151">
        <f ca="1">VLOOKUP(A62,'States by Mo'!$A$3:$AD$53,30,)</f>
        <v>5.5158333333333331</v>
      </c>
      <c r="F62" s="156">
        <f t="shared" ref="F62:F93" ca="1" si="9">RANK(E62,$E$62:$E$111,1)</f>
        <v>49</v>
      </c>
      <c r="G62" s="151">
        <f>VLOOKUP(A62,template!$A$3:$P$53,8,)</f>
        <v>1.02</v>
      </c>
      <c r="H62" s="156">
        <f t="shared" ref="H62:H93" si="10">RANK(G62,$G$62:$G$111,)</f>
        <v>17</v>
      </c>
      <c r="I62" s="152">
        <f ca="1">VLOOKUP(A62,'States by Mo'!$A$3:$BF$53,57,)</f>
        <v>0.89166666666666672</v>
      </c>
      <c r="J62" s="157">
        <f t="shared" ref="J62:J93" ca="1" si="11">RANK(I62,$I$62:$I$111,)</f>
        <v>28</v>
      </c>
    </row>
    <row r="63" spans="1:10" ht="12.75" customHeight="1" x14ac:dyDescent="0.3">
      <c r="A63" s="158" t="s">
        <v>35</v>
      </c>
      <c r="B63" s="124">
        <f>VLOOKUP(A63,template!$A$3:$P$53,15,)</f>
        <v>46204</v>
      </c>
      <c r="C63" s="127">
        <f>VLOOKUP(A63,template!$A$3:$P$53,7,)</f>
        <v>5.47</v>
      </c>
      <c r="D63" s="99">
        <f t="shared" si="8"/>
        <v>49</v>
      </c>
      <c r="E63" s="127">
        <f ca="1">VLOOKUP(A63,'States by Mo'!$A$3:$AD$53,30,)</f>
        <v>5.2491666666666665</v>
      </c>
      <c r="F63" s="99">
        <f t="shared" ca="1" si="9"/>
        <v>47</v>
      </c>
      <c r="G63" s="127">
        <f>VLOOKUP(A63,template!$A$3:$P$53,8,)</f>
        <v>1.26</v>
      </c>
      <c r="H63" s="99">
        <f t="shared" si="10"/>
        <v>9</v>
      </c>
      <c r="I63" s="153">
        <f ca="1">VLOOKUP(A63,'States by Mo'!$A$3:$BF$53,57,)</f>
        <v>0.83583333333333332</v>
      </c>
      <c r="J63" s="128">
        <f t="shared" ca="1" si="11"/>
        <v>37</v>
      </c>
    </row>
    <row r="64" spans="1:10" ht="12.75" customHeight="1" x14ac:dyDescent="0.3">
      <c r="A64" s="158" t="s">
        <v>23</v>
      </c>
      <c r="B64" s="124">
        <f>VLOOKUP(A64,template!$A$3:$P$53,15,)</f>
        <v>46204</v>
      </c>
      <c r="C64" s="127">
        <f>VLOOKUP(A64,template!$A$3:$P$53,7,)</f>
        <v>5.41</v>
      </c>
      <c r="D64" s="99">
        <f t="shared" si="8"/>
        <v>48</v>
      </c>
      <c r="E64" s="127">
        <f ca="1">VLOOKUP(A64,'States by Mo'!$A$3:$AD$53,30,)</f>
        <v>5.8283333333333331</v>
      </c>
      <c r="F64" s="99">
        <f t="shared" ca="1" si="9"/>
        <v>50</v>
      </c>
      <c r="G64" s="127">
        <f>VLOOKUP(A64,template!$A$3:$P$53,8,)</f>
        <v>0.97</v>
      </c>
      <c r="H64" s="99">
        <f t="shared" si="10"/>
        <v>22</v>
      </c>
      <c r="I64" s="153">
        <f ca="1">VLOOKUP(A64,'States by Mo'!$A$3:$BF$53,57,)</f>
        <v>1.0066666666666668</v>
      </c>
      <c r="J64" s="128">
        <f t="shared" ca="1" si="11"/>
        <v>16</v>
      </c>
    </row>
    <row r="65" spans="1:10" ht="12.75" customHeight="1" x14ac:dyDescent="0.3">
      <c r="A65" s="158" t="s">
        <v>46</v>
      </c>
      <c r="B65" s="124">
        <f>VLOOKUP(A65,template!$A$3:$P$53,15,)</f>
        <v>46023</v>
      </c>
      <c r="C65" s="127">
        <f>VLOOKUP(A65,template!$A$3:$P$53,7,)</f>
        <v>4.9000000000000004</v>
      </c>
      <c r="D65" s="99">
        <f t="shared" si="8"/>
        <v>47</v>
      </c>
      <c r="E65" s="127">
        <f ca="1">VLOOKUP(A65,'States by Mo'!$A$3:$AD$53,30,)</f>
        <v>5.3624999999999998</v>
      </c>
      <c r="F65" s="99">
        <f t="shared" ca="1" si="9"/>
        <v>48</v>
      </c>
      <c r="G65" s="127">
        <f>VLOOKUP(A65,template!$A$3:$P$53,8,)</f>
        <v>0.89</v>
      </c>
      <c r="H65" s="99">
        <f t="shared" si="10"/>
        <v>28</v>
      </c>
      <c r="I65" s="153">
        <f ca="1">VLOOKUP(A65,'States by Mo'!$A$3:$BF$53,57,)</f>
        <v>0.94333333333333336</v>
      </c>
      <c r="J65" s="128">
        <f t="shared" ca="1" si="11"/>
        <v>20</v>
      </c>
    </row>
    <row r="66" spans="1:10" ht="12.75" customHeight="1" x14ac:dyDescent="0.3">
      <c r="A66" s="158" t="s">
        <v>60</v>
      </c>
      <c r="B66" s="124">
        <f>VLOOKUP(A66,template!$A$3:$P$53,15,)</f>
        <v>46204</v>
      </c>
      <c r="C66" s="127">
        <f>VLOOKUP(A66,template!$A$3:$P$53,7,)</f>
        <v>4.6900000000000004</v>
      </c>
      <c r="D66" s="99">
        <f t="shared" si="8"/>
        <v>46</v>
      </c>
      <c r="E66" s="127">
        <f ca="1">VLOOKUP(A66,'States by Mo'!$A$3:$AD$53,30,)</f>
        <v>4.1183333333333332</v>
      </c>
      <c r="F66" s="99">
        <f t="shared" ca="1" si="9"/>
        <v>42</v>
      </c>
      <c r="G66" s="127">
        <f>VLOOKUP(A66,template!$A$3:$P$53,8,)</f>
        <v>0.73</v>
      </c>
      <c r="H66" s="99">
        <f t="shared" si="10"/>
        <v>40</v>
      </c>
      <c r="I66" s="153">
        <f ca="1">VLOOKUP(A66,'States by Mo'!$A$3:$BF$53,57,)</f>
        <v>0.68166666666666675</v>
      </c>
      <c r="J66" s="128">
        <f t="shared" ca="1" si="11"/>
        <v>48</v>
      </c>
    </row>
    <row r="67" spans="1:10" ht="12.75" customHeight="1" x14ac:dyDescent="0.3">
      <c r="A67" s="158" t="s">
        <v>40</v>
      </c>
      <c r="B67" s="124">
        <f>VLOOKUP(A67,template!$A$3:$P$53,15,)</f>
        <v>46204</v>
      </c>
      <c r="C67" s="127">
        <f>VLOOKUP(A67,template!$A$3:$P$53,7,)</f>
        <v>4.6500000000000004</v>
      </c>
      <c r="D67" s="99">
        <f t="shared" si="8"/>
        <v>45</v>
      </c>
      <c r="E67" s="127">
        <f ca="1">VLOOKUP(A67,'States by Mo'!$A$3:$AD$53,30,)</f>
        <v>4.1449999999999996</v>
      </c>
      <c r="F67" s="99">
        <f t="shared" ca="1" si="9"/>
        <v>44</v>
      </c>
      <c r="G67" s="127">
        <f>VLOOKUP(A67,template!$A$3:$P$53,8,)</f>
        <v>0.79</v>
      </c>
      <c r="H67" s="99">
        <f t="shared" si="10"/>
        <v>36</v>
      </c>
      <c r="I67" s="153">
        <f ca="1">VLOOKUP(A67,'States by Mo'!$A$3:$BF$53,57,)</f>
        <v>0.61499999999999999</v>
      </c>
      <c r="J67" s="128">
        <f t="shared" ca="1" si="11"/>
        <v>50</v>
      </c>
    </row>
    <row r="68" spans="1:10" ht="12.75" customHeight="1" x14ac:dyDescent="0.3">
      <c r="A68" s="158" t="s">
        <v>16</v>
      </c>
      <c r="B68" s="124">
        <f>VLOOKUP(A68,template!$A$3:$P$53,15,)</f>
        <v>46204</v>
      </c>
      <c r="C68" s="127">
        <f>VLOOKUP(A68,template!$A$3:$P$53,7,)</f>
        <v>4.54</v>
      </c>
      <c r="D68" s="99">
        <f t="shared" si="8"/>
        <v>44</v>
      </c>
      <c r="E68" s="127">
        <f ca="1">VLOOKUP(A68,'States by Mo'!$A$3:$AD$53,30,)</f>
        <v>3.8533333333333331</v>
      </c>
      <c r="F68" s="99">
        <f t="shared" ca="1" si="9"/>
        <v>39</v>
      </c>
      <c r="G68" s="127">
        <f>VLOOKUP(A68,template!$A$3:$P$53,8,)</f>
        <v>0.89</v>
      </c>
      <c r="H68" s="99">
        <f t="shared" si="10"/>
        <v>28</v>
      </c>
      <c r="I68" s="153">
        <f ca="1">VLOOKUP(A68,'States by Mo'!$A$3:$BF$53,57,)</f>
        <v>0.71916666666666662</v>
      </c>
      <c r="J68" s="128">
        <f t="shared" ca="1" si="11"/>
        <v>47</v>
      </c>
    </row>
    <row r="69" spans="1:10" ht="12.75" customHeight="1" x14ac:dyDescent="0.3">
      <c r="A69" s="158" t="s">
        <v>52</v>
      </c>
      <c r="B69" s="124">
        <f>VLOOKUP(A69,template!$A$3:$P$53,15,)</f>
        <v>46204</v>
      </c>
      <c r="C69" s="127">
        <f>VLOOKUP(A69,template!$A$3:$P$53,7,)</f>
        <v>4.5199999999999996</v>
      </c>
      <c r="D69" s="99">
        <f t="shared" si="8"/>
        <v>43</v>
      </c>
      <c r="E69" s="127">
        <f ca="1">VLOOKUP(A69,'States by Mo'!$A$3:$AD$53,30,)</f>
        <v>4.1466666666666656</v>
      </c>
      <c r="F69" s="99">
        <f t="shared" ca="1" si="9"/>
        <v>45</v>
      </c>
      <c r="G69" s="127">
        <f>VLOOKUP(A69,template!$A$3:$P$53,8,)</f>
        <v>1.18</v>
      </c>
      <c r="H69" s="99">
        <f t="shared" si="10"/>
        <v>12</v>
      </c>
      <c r="I69" s="153">
        <f ca="1">VLOOKUP(A69,'States by Mo'!$A$3:$BF$53,57,)</f>
        <v>1.0024999999999999</v>
      </c>
      <c r="J69" s="128">
        <f t="shared" ca="1" si="11"/>
        <v>17</v>
      </c>
    </row>
    <row r="70" spans="1:10" ht="12.75" customHeight="1" x14ac:dyDescent="0.3">
      <c r="A70" s="158" t="s">
        <v>39</v>
      </c>
      <c r="B70" s="124">
        <f>VLOOKUP(A70,template!$A$3:$P$53,15,)</f>
        <v>46113</v>
      </c>
      <c r="C70" s="127">
        <f>VLOOKUP(A70,template!$A$3:$P$53,7,)</f>
        <v>4.2699999999999996</v>
      </c>
      <c r="D70" s="99">
        <f t="shared" si="8"/>
        <v>42</v>
      </c>
      <c r="E70" s="127">
        <f ca="1">VLOOKUP(A70,'States by Mo'!$A$3:$AD$53,30,)</f>
        <v>3.7416666666666671</v>
      </c>
      <c r="F70" s="99">
        <f t="shared" ca="1" si="9"/>
        <v>37</v>
      </c>
      <c r="G70" s="127">
        <f>VLOOKUP(A70,template!$A$3:$P$53,8,)</f>
        <v>1.19</v>
      </c>
      <c r="H70" s="99">
        <f t="shared" si="10"/>
        <v>11</v>
      </c>
      <c r="I70" s="153">
        <f ca="1">VLOOKUP(A70,'States by Mo'!$A$3:$BF$53,57,)</f>
        <v>1.2041666666666664</v>
      </c>
      <c r="J70" s="128">
        <f t="shared" ca="1" si="11"/>
        <v>11</v>
      </c>
    </row>
    <row r="71" spans="1:10" ht="12.75" customHeight="1" x14ac:dyDescent="0.3">
      <c r="A71" s="158" t="s">
        <v>54</v>
      </c>
      <c r="B71" s="124">
        <f>VLOOKUP(A71,template!$A$3:$P$53,15,)</f>
        <v>46113</v>
      </c>
      <c r="C71" s="127">
        <f>VLOOKUP(A71,template!$A$3:$P$53,7,)</f>
        <v>3.97</v>
      </c>
      <c r="D71" s="99">
        <f t="shared" si="8"/>
        <v>40</v>
      </c>
      <c r="E71" s="127">
        <f ca="1">VLOOKUP(A71,'States by Mo'!$A$3:$AD$53,30,)</f>
        <v>3.6033333333333331</v>
      </c>
      <c r="F71" s="99">
        <f t="shared" ca="1" si="9"/>
        <v>35</v>
      </c>
      <c r="G71" s="127">
        <f>VLOOKUP(A71,template!$A$3:$P$53,8,)</f>
        <v>1.02</v>
      </c>
      <c r="H71" s="99">
        <f t="shared" si="10"/>
        <v>17</v>
      </c>
      <c r="I71" s="153">
        <f ca="1">VLOOKUP(A71,'States by Mo'!$A$3:$BF$53,57,)</f>
        <v>1.0441666666666667</v>
      </c>
      <c r="J71" s="128">
        <f t="shared" ca="1" si="11"/>
        <v>15</v>
      </c>
    </row>
    <row r="72" spans="1:10" ht="12.75" customHeight="1" x14ac:dyDescent="0.3">
      <c r="A72" s="158" t="s">
        <v>55</v>
      </c>
      <c r="B72" s="124">
        <f>VLOOKUP(A72,template!$A$3:$P$53,15,)</f>
        <v>46023</v>
      </c>
      <c r="C72" s="127">
        <f>VLOOKUP(A72,template!$A$3:$P$53,7,)</f>
        <v>3.97</v>
      </c>
      <c r="D72" s="99">
        <f t="shared" si="8"/>
        <v>40</v>
      </c>
      <c r="E72" s="127">
        <f ca="1">VLOOKUP(A72,'States by Mo'!$A$3:$AD$53,30,)</f>
        <v>2.8741666666666661</v>
      </c>
      <c r="F72" s="99">
        <f t="shared" ca="1" si="9"/>
        <v>21</v>
      </c>
      <c r="G72" s="127">
        <f>VLOOKUP(A72,template!$A$3:$P$53,8,)</f>
        <v>0.54</v>
      </c>
      <c r="H72" s="99">
        <f t="shared" si="10"/>
        <v>50</v>
      </c>
      <c r="I72" s="153">
        <f ca="1">VLOOKUP(A72,'States by Mo'!$A$3:$BF$53,57,)</f>
        <v>1.26</v>
      </c>
      <c r="J72" s="128">
        <f t="shared" ca="1" si="11"/>
        <v>10</v>
      </c>
    </row>
    <row r="73" spans="1:10" ht="12.75" customHeight="1" x14ac:dyDescent="0.3">
      <c r="A73" s="158" t="s">
        <v>38</v>
      </c>
      <c r="B73" s="124">
        <f>VLOOKUP(A73,template!$A$3:$P$53,15,)</f>
        <v>46113</v>
      </c>
      <c r="C73" s="127">
        <f>VLOOKUP(A73,template!$A$3:$P$53,7,)</f>
        <v>3.93</v>
      </c>
      <c r="D73" s="99">
        <f t="shared" si="8"/>
        <v>39</v>
      </c>
      <c r="E73" s="127">
        <f ca="1">VLOOKUP(A73,'States by Mo'!$A$3:$AD$53,30,)</f>
        <v>3.4216666666666669</v>
      </c>
      <c r="F73" s="99">
        <f t="shared" ca="1" si="9"/>
        <v>33</v>
      </c>
      <c r="G73" s="127">
        <f>VLOOKUP(A73,template!$A$3:$P$53,8,)</f>
        <v>1.1100000000000001</v>
      </c>
      <c r="H73" s="99">
        <f t="shared" si="10"/>
        <v>13</v>
      </c>
      <c r="I73" s="153">
        <f ca="1">VLOOKUP(A73,'States by Mo'!$A$3:$BF$53,57,)</f>
        <v>1.0483333333333333</v>
      </c>
      <c r="J73" s="128">
        <f t="shared" ca="1" si="11"/>
        <v>14</v>
      </c>
    </row>
    <row r="74" spans="1:10" ht="12.75" customHeight="1" x14ac:dyDescent="0.3">
      <c r="A74" s="158" t="s">
        <v>28</v>
      </c>
      <c r="B74" s="124">
        <f>VLOOKUP(A74,template!$A$3:$P$53,15,)</f>
        <v>46023</v>
      </c>
      <c r="C74" s="127">
        <f>VLOOKUP(A74,template!$A$3:$P$53,7,)</f>
        <v>3.87</v>
      </c>
      <c r="D74" s="99">
        <f t="shared" si="8"/>
        <v>38</v>
      </c>
      <c r="E74" s="127">
        <f ca="1">VLOOKUP(A74,'States by Mo'!$A$3:$AD$53,30,)</f>
        <v>3.2941666666666669</v>
      </c>
      <c r="F74" s="99">
        <f t="shared" ca="1" si="9"/>
        <v>31</v>
      </c>
      <c r="G74" s="127">
        <f>VLOOKUP(A74,template!$A$3:$P$53,8,)</f>
        <v>0.73</v>
      </c>
      <c r="H74" s="99">
        <f t="shared" si="10"/>
        <v>40</v>
      </c>
      <c r="I74" s="153">
        <f ca="1">VLOOKUP(A74,'States by Mo'!$A$3:$BF$53,57,)</f>
        <v>0.8008333333333334</v>
      </c>
      <c r="J74" s="128">
        <f t="shared" ca="1" si="11"/>
        <v>43</v>
      </c>
    </row>
    <row r="75" spans="1:10" ht="12.75" customHeight="1" x14ac:dyDescent="0.3">
      <c r="A75" s="158" t="s">
        <v>47</v>
      </c>
      <c r="B75" s="124">
        <f>VLOOKUP(A75,template!$A$3:$P$53,15,)</f>
        <v>46204</v>
      </c>
      <c r="C75" s="127">
        <f>VLOOKUP(A75,template!$A$3:$P$53,7,)</f>
        <v>3.85</v>
      </c>
      <c r="D75" s="99">
        <f t="shared" si="8"/>
        <v>37</v>
      </c>
      <c r="E75" s="127">
        <f ca="1">VLOOKUP(A75,'States by Mo'!$A$3:$AD$53,30,)</f>
        <v>3.6058333333333343</v>
      </c>
      <c r="F75" s="99">
        <f t="shared" ca="1" si="9"/>
        <v>36</v>
      </c>
      <c r="G75" s="127">
        <f>VLOOKUP(A75,template!$A$3:$P$53,8,)</f>
        <v>1.94</v>
      </c>
      <c r="H75" s="99">
        <f t="shared" si="10"/>
        <v>1</v>
      </c>
      <c r="I75" s="153">
        <f ca="1">VLOOKUP(A75,'States by Mo'!$A$3:$BF$53,57,)</f>
        <v>1.5033333333333332</v>
      </c>
      <c r="J75" s="128">
        <f t="shared" ca="1" si="11"/>
        <v>3</v>
      </c>
    </row>
    <row r="76" spans="1:10" ht="12.75" customHeight="1" x14ac:dyDescent="0.3">
      <c r="A76" s="158" t="s">
        <v>36</v>
      </c>
      <c r="B76" s="124">
        <f>VLOOKUP(A76,template!$A$3:$P$53,15,)</f>
        <v>45931</v>
      </c>
      <c r="C76" s="127">
        <f>VLOOKUP(A76,template!$A$3:$P$53,7,)</f>
        <v>3.82</v>
      </c>
      <c r="D76" s="99">
        <f t="shared" si="8"/>
        <v>36</v>
      </c>
      <c r="E76" s="127">
        <f ca="1">VLOOKUP(A76,'States by Mo'!$A$3:$AD$53,30,)</f>
        <v>4.1308333333333342</v>
      </c>
      <c r="F76" s="99">
        <f t="shared" ca="1" si="9"/>
        <v>43</v>
      </c>
      <c r="G76" s="127">
        <f>VLOOKUP(A76,template!$A$3:$P$53,8,)</f>
        <v>0.85</v>
      </c>
      <c r="H76" s="99">
        <f t="shared" si="10"/>
        <v>33</v>
      </c>
      <c r="I76" s="153">
        <f ca="1">VLOOKUP(A76,'States by Mo'!$A$3:$BF$53,57,)</f>
        <v>0.87916666666666676</v>
      </c>
      <c r="J76" s="128">
        <f t="shared" ca="1" si="11"/>
        <v>30</v>
      </c>
    </row>
    <row r="77" spans="1:10" ht="12.75" customHeight="1" x14ac:dyDescent="0.3">
      <c r="A77" s="158" t="s">
        <v>30</v>
      </c>
      <c r="B77" s="124">
        <f>VLOOKUP(A77,template!$A$3:$P$53,15,)</f>
        <v>46204</v>
      </c>
      <c r="C77" s="127">
        <f>VLOOKUP(A77,template!$A$3:$P$53,7,)</f>
        <v>3.76</v>
      </c>
      <c r="D77" s="99">
        <f t="shared" si="8"/>
        <v>34</v>
      </c>
      <c r="E77" s="127">
        <f ca="1">VLOOKUP(A77,'States by Mo'!$A$3:$AD$53,30,)</f>
        <v>4.1166666666666663</v>
      </c>
      <c r="F77" s="99">
        <f t="shared" ca="1" si="9"/>
        <v>41</v>
      </c>
      <c r="G77" s="127">
        <f>VLOOKUP(A77,template!$A$3:$P$53,8,)</f>
        <v>0.75</v>
      </c>
      <c r="H77" s="99">
        <f t="shared" si="10"/>
        <v>39</v>
      </c>
      <c r="I77" s="153">
        <f ca="1">VLOOKUP(A77,'States by Mo'!$A$3:$BF$53,57,)</f>
        <v>0.8075</v>
      </c>
      <c r="J77" s="128">
        <f t="shared" ca="1" si="11"/>
        <v>40</v>
      </c>
    </row>
    <row r="78" spans="1:10" ht="12.75" customHeight="1" x14ac:dyDescent="0.3">
      <c r="A78" s="158" t="s">
        <v>29</v>
      </c>
      <c r="B78" s="124">
        <f>VLOOKUP(A78,template!$A$3:$P$53,15,)</f>
        <v>46023</v>
      </c>
      <c r="C78" s="127">
        <f>VLOOKUP(A78,template!$A$3:$P$53,7,)</f>
        <v>3.76</v>
      </c>
      <c r="D78" s="99">
        <f t="shared" si="8"/>
        <v>34</v>
      </c>
      <c r="E78" s="127">
        <f ca="1">VLOOKUP(A78,'States by Mo'!$A$3:$AD$53,30,)</f>
        <v>3.2433333333333336</v>
      </c>
      <c r="F78" s="99">
        <f t="shared" ca="1" si="9"/>
        <v>29</v>
      </c>
      <c r="G78" s="127">
        <f>VLOOKUP(A78,template!$A$3:$P$53,8,)</f>
        <v>0.55000000000000004</v>
      </c>
      <c r="H78" s="99">
        <f t="shared" si="10"/>
        <v>49</v>
      </c>
      <c r="I78" s="153">
        <f ca="1">VLOOKUP(A78,'States by Mo'!$A$3:$BF$53,57,)</f>
        <v>0.63583333333333336</v>
      </c>
      <c r="J78" s="128">
        <f t="shared" ca="1" si="11"/>
        <v>49</v>
      </c>
    </row>
    <row r="79" spans="1:10" ht="12.75" customHeight="1" x14ac:dyDescent="0.3">
      <c r="A79" s="158" t="s">
        <v>45</v>
      </c>
      <c r="B79" s="124">
        <f>VLOOKUP(A79,template!$A$3:$P$53,15,)</f>
        <v>46023</v>
      </c>
      <c r="C79" s="127">
        <f>VLOOKUP(A79,template!$A$3:$P$53,7,)</f>
        <v>3.71</v>
      </c>
      <c r="D79" s="99">
        <f t="shared" si="8"/>
        <v>33</v>
      </c>
      <c r="E79" s="127">
        <f ca="1">VLOOKUP(A79,'States by Mo'!$A$3:$AD$53,30,)</f>
        <v>3.2249999999999996</v>
      </c>
      <c r="F79" s="99">
        <f t="shared" ca="1" si="9"/>
        <v>28</v>
      </c>
      <c r="G79" s="127">
        <f>VLOOKUP(A79,template!$A$3:$P$53,8,)</f>
        <v>0.92</v>
      </c>
      <c r="H79" s="99">
        <f t="shared" si="10"/>
        <v>24</v>
      </c>
      <c r="I79" s="153">
        <f ca="1">VLOOKUP(A79,'States by Mo'!$A$3:$BF$53,57,)</f>
        <v>0.84916666666666663</v>
      </c>
      <c r="J79" s="128">
        <f t="shared" ca="1" si="11"/>
        <v>34</v>
      </c>
    </row>
    <row r="80" spans="1:10" ht="12.75" customHeight="1" x14ac:dyDescent="0.3">
      <c r="A80" s="158" t="s">
        <v>44</v>
      </c>
      <c r="B80" s="124">
        <f>VLOOKUP(A80,template!$A$3:$P$53,15,)</f>
        <v>46023</v>
      </c>
      <c r="C80" s="127">
        <f>VLOOKUP(A80,template!$A$3:$P$53,7,)</f>
        <v>3.68</v>
      </c>
      <c r="D80" s="99">
        <f t="shared" si="8"/>
        <v>32</v>
      </c>
      <c r="E80" s="127">
        <f ca="1">VLOOKUP(A80,'States by Mo'!$A$3:$AD$53,30,)</f>
        <v>4.0483333333333329</v>
      </c>
      <c r="F80" s="99">
        <f t="shared" ca="1" si="9"/>
        <v>40</v>
      </c>
      <c r="G80" s="127">
        <f>VLOOKUP(A80,template!$A$3:$P$53,8,)</f>
        <v>1.0900000000000001</v>
      </c>
      <c r="H80" s="99">
        <f t="shared" si="10"/>
        <v>14</v>
      </c>
      <c r="I80" s="153">
        <f ca="1">VLOOKUP(A80,'States by Mo'!$A$3:$BF$53,57,)</f>
        <v>1.0008333333333332</v>
      </c>
      <c r="J80" s="128">
        <f t="shared" ca="1" si="11"/>
        <v>18</v>
      </c>
    </row>
    <row r="81" spans="1:10" ht="12.75" customHeight="1" x14ac:dyDescent="0.3">
      <c r="A81" s="158" t="s">
        <v>21</v>
      </c>
      <c r="B81" s="124">
        <f>VLOOKUP(A81,template!$A$3:$P$53,15,)</f>
        <v>46204</v>
      </c>
      <c r="C81" s="127">
        <f>VLOOKUP(A81,template!$A$3:$P$53,7,)</f>
        <v>3.58</v>
      </c>
      <c r="D81" s="99">
        <f t="shared" si="8"/>
        <v>31</v>
      </c>
      <c r="E81" s="127">
        <f ca="1">VLOOKUP(A81,'States by Mo'!$A$3:$AD$53,30,)</f>
        <v>2.9075000000000002</v>
      </c>
      <c r="F81" s="99">
        <f t="shared" ca="1" si="9"/>
        <v>22</v>
      </c>
      <c r="G81" s="127">
        <f>VLOOKUP(A81,template!$A$3:$P$53,8,)</f>
        <v>0.86</v>
      </c>
      <c r="H81" s="99">
        <f t="shared" si="10"/>
        <v>32</v>
      </c>
      <c r="I81" s="153">
        <f ca="1">VLOOKUP(A81,'States by Mo'!$A$3:$BF$53,57,)</f>
        <v>0.8224999999999999</v>
      </c>
      <c r="J81" s="128">
        <f t="shared" ca="1" si="11"/>
        <v>38</v>
      </c>
    </row>
    <row r="82" spans="1:10" ht="12.75" customHeight="1" x14ac:dyDescent="0.3">
      <c r="A82" s="158" t="s">
        <v>64</v>
      </c>
      <c r="B82" s="124">
        <f>VLOOKUP(A82,template!$A$3:$P$53,15,)</f>
        <v>46023</v>
      </c>
      <c r="C82" s="127">
        <f>VLOOKUP(A82,template!$A$3:$P$53,7,)</f>
        <v>3.53</v>
      </c>
      <c r="D82" s="99">
        <f t="shared" si="8"/>
        <v>30</v>
      </c>
      <c r="E82" s="127">
        <f ca="1">VLOOKUP(A82,'States by Mo'!$A$3:$AD$53,30,)</f>
        <v>4.2316666666666665</v>
      </c>
      <c r="F82" s="99">
        <f t="shared" ca="1" si="9"/>
        <v>46</v>
      </c>
      <c r="G82" s="127">
        <f>VLOOKUP(A82,template!$A$3:$P$53,8,)</f>
        <v>1.69</v>
      </c>
      <c r="H82" s="99">
        <f t="shared" si="10"/>
        <v>5</v>
      </c>
      <c r="I82" s="153">
        <f ca="1">VLOOKUP(A82,'States by Mo'!$A$3:$BF$53,57,)</f>
        <v>1.3425</v>
      </c>
      <c r="J82" s="128">
        <f t="shared" ca="1" si="11"/>
        <v>7</v>
      </c>
    </row>
    <row r="83" spans="1:10" ht="12.75" customHeight="1" x14ac:dyDescent="0.3">
      <c r="A83" s="158" t="s">
        <v>33</v>
      </c>
      <c r="B83" s="124">
        <f>VLOOKUP(A83,template!$A$3:$P$53,15,)</f>
        <v>46204</v>
      </c>
      <c r="C83" s="127">
        <f>VLOOKUP(A83,template!$A$3:$P$53,7,)</f>
        <v>3.47</v>
      </c>
      <c r="D83" s="99">
        <f t="shared" si="8"/>
        <v>28</v>
      </c>
      <c r="E83" s="127">
        <f ca="1">VLOOKUP(A83,'States by Mo'!$A$3:$AD$53,30,)</f>
        <v>2.9116666666666666</v>
      </c>
      <c r="F83" s="99">
        <f t="shared" ca="1" si="9"/>
        <v>23</v>
      </c>
      <c r="G83" s="127">
        <f>VLOOKUP(A83,template!$A$3:$P$53,8,)</f>
        <v>1.3</v>
      </c>
      <c r="H83" s="99">
        <f t="shared" si="10"/>
        <v>7</v>
      </c>
      <c r="I83" s="153">
        <f ca="1">VLOOKUP(A83,'States by Mo'!$A$3:$BF$53,57,)</f>
        <v>1.1325000000000001</v>
      </c>
      <c r="J83" s="128">
        <f t="shared" ca="1" si="11"/>
        <v>12</v>
      </c>
    </row>
    <row r="84" spans="1:10" ht="12.75" customHeight="1" x14ac:dyDescent="0.3">
      <c r="A84" s="158" t="s">
        <v>56</v>
      </c>
      <c r="B84" s="124">
        <f>VLOOKUP(A84,template!$A$3:$P$53,15,)</f>
        <v>46204</v>
      </c>
      <c r="C84" s="127">
        <f>VLOOKUP(A84,template!$A$3:$P$53,7,)</f>
        <v>3.47</v>
      </c>
      <c r="D84" s="99">
        <f t="shared" si="8"/>
        <v>28</v>
      </c>
      <c r="E84" s="127">
        <f ca="1">VLOOKUP(A84,'States by Mo'!$A$3:$AD$53,30,)</f>
        <v>2.9741666666666666</v>
      </c>
      <c r="F84" s="99">
        <f t="shared" ca="1" si="9"/>
        <v>24</v>
      </c>
      <c r="G84" s="127">
        <f>VLOOKUP(A84,template!$A$3:$P$53,8,)</f>
        <v>0.73</v>
      </c>
      <c r="H84" s="99">
        <f t="shared" si="10"/>
        <v>40</v>
      </c>
      <c r="I84" s="153">
        <f ca="1">VLOOKUP(A84,'States by Mo'!$A$3:$BF$53,57,)</f>
        <v>0.80583333333333351</v>
      </c>
      <c r="J84" s="128">
        <f t="shared" ca="1" si="11"/>
        <v>41</v>
      </c>
    </row>
    <row r="85" spans="1:10" ht="12.75" customHeight="1" x14ac:dyDescent="0.3">
      <c r="A85" s="158" t="s">
        <v>26</v>
      </c>
      <c r="B85" s="124">
        <f>VLOOKUP(A85,template!$A$3:$P$53,15,)</f>
        <v>46023</v>
      </c>
      <c r="C85" s="127">
        <f>VLOOKUP(A85,template!$A$3:$P$53,7,)</f>
        <v>3.36</v>
      </c>
      <c r="D85" s="99">
        <f t="shared" si="8"/>
        <v>27</v>
      </c>
      <c r="E85" s="127">
        <f ca="1">VLOOKUP(A85,'States by Mo'!$A$3:$AD$53,30,)</f>
        <v>3.7833333333333337</v>
      </c>
      <c r="F85" s="99">
        <f t="shared" ca="1" si="9"/>
        <v>38</v>
      </c>
      <c r="G85" s="127">
        <f>VLOOKUP(A85,template!$A$3:$P$53,8,)</f>
        <v>1.71</v>
      </c>
      <c r="H85" s="99">
        <f t="shared" si="10"/>
        <v>3</v>
      </c>
      <c r="I85" s="153">
        <f ca="1">VLOOKUP(A85,'States by Mo'!$A$3:$BF$53,57,)</f>
        <v>1.8541666666666667</v>
      </c>
      <c r="J85" s="128">
        <f t="shared" ca="1" si="11"/>
        <v>1</v>
      </c>
    </row>
    <row r="86" spans="1:10" ht="12.75" customHeight="1" x14ac:dyDescent="0.3">
      <c r="A86" s="158" t="s">
        <v>43</v>
      </c>
      <c r="B86" s="124">
        <f>VLOOKUP(A86,template!$A$3:$P$53,15,)</f>
        <v>46204</v>
      </c>
      <c r="C86" s="127">
        <f>VLOOKUP(A86,template!$A$3:$P$53,7,)</f>
        <v>3.33</v>
      </c>
      <c r="D86" s="99">
        <f t="shared" si="8"/>
        <v>26</v>
      </c>
      <c r="E86" s="127">
        <f ca="1">VLOOKUP(A86,'States by Mo'!$A$3:$AD$53,30,)</f>
        <v>3.5325000000000002</v>
      </c>
      <c r="F86" s="99">
        <f t="shared" ca="1" si="9"/>
        <v>34</v>
      </c>
      <c r="G86" s="127">
        <f>VLOOKUP(A86,template!$A$3:$P$53,8,)</f>
        <v>0.64</v>
      </c>
      <c r="H86" s="99">
        <f t="shared" si="10"/>
        <v>44</v>
      </c>
      <c r="I86" s="153">
        <f ca="1">VLOOKUP(A86,'States by Mo'!$A$3:$BF$53,57,)</f>
        <v>0.78583333333333361</v>
      </c>
      <c r="J86" s="128">
        <f t="shared" ca="1" si="11"/>
        <v>45</v>
      </c>
    </row>
    <row r="87" spans="1:10" ht="12.75" customHeight="1" x14ac:dyDescent="0.3">
      <c r="A87" s="158" t="s">
        <v>20</v>
      </c>
      <c r="B87" s="124">
        <f>VLOOKUP(A87,template!$A$3:$P$53,15,)</f>
        <v>46113</v>
      </c>
      <c r="C87" s="127">
        <f>VLOOKUP(A87,template!$A$3:$P$53,7,)</f>
        <v>3.28</v>
      </c>
      <c r="D87" s="99">
        <f t="shared" si="8"/>
        <v>25</v>
      </c>
      <c r="E87" s="127">
        <f ca="1">VLOOKUP(A87,'States by Mo'!$A$3:$AD$53,30,)</f>
        <v>3.1158333333333332</v>
      </c>
      <c r="F87" s="99">
        <f t="shared" ca="1" si="9"/>
        <v>26</v>
      </c>
      <c r="G87" s="127">
        <f>VLOOKUP(A87,template!$A$3:$P$53,8,)</f>
        <v>0.57999999999999996</v>
      </c>
      <c r="H87" s="99">
        <f t="shared" si="10"/>
        <v>48</v>
      </c>
      <c r="I87" s="153">
        <f ca="1">VLOOKUP(A87,'States by Mo'!$A$3:$BF$53,57,)</f>
        <v>0.81166666666666687</v>
      </c>
      <c r="J87" s="128">
        <f t="shared" ca="1" si="11"/>
        <v>39</v>
      </c>
    </row>
    <row r="88" spans="1:10" ht="12.75" customHeight="1" x14ac:dyDescent="0.3">
      <c r="A88" s="158" t="s">
        <v>53</v>
      </c>
      <c r="B88" s="124">
        <f>VLOOKUP(A88,template!$A$3:$P$53,15,)</f>
        <v>46204</v>
      </c>
      <c r="C88" s="127">
        <f>VLOOKUP(A88,template!$A$3:$P$53,7,)</f>
        <v>3.22</v>
      </c>
      <c r="D88" s="99">
        <f t="shared" si="8"/>
        <v>24</v>
      </c>
      <c r="E88" s="127">
        <f ca="1">VLOOKUP(A88,'States by Mo'!$A$3:$AD$53,30,)</f>
        <v>3.2666666666666662</v>
      </c>
      <c r="F88" s="99">
        <f t="shared" ca="1" si="9"/>
        <v>30</v>
      </c>
      <c r="G88" s="127">
        <f>VLOOKUP(A88,template!$A$3:$P$53,8,)</f>
        <v>0.88</v>
      </c>
      <c r="H88" s="99">
        <f t="shared" si="10"/>
        <v>30</v>
      </c>
      <c r="I88" s="153">
        <f ca="1">VLOOKUP(A88,'States by Mo'!$A$3:$BF$53,57,)</f>
        <v>1.3466666666666665</v>
      </c>
      <c r="J88" s="128">
        <f t="shared" ca="1" si="11"/>
        <v>6</v>
      </c>
    </row>
    <row r="89" spans="1:10" ht="12.75" customHeight="1" x14ac:dyDescent="0.3">
      <c r="A89" s="158" t="s">
        <v>61</v>
      </c>
      <c r="B89" s="124">
        <f>VLOOKUP(A89,template!$A$3:$P$53,15,)</f>
        <v>46204</v>
      </c>
      <c r="C89" s="127">
        <f>VLOOKUP(A89,template!$A$3:$P$53,7,)</f>
        <v>3.13</v>
      </c>
      <c r="D89" s="99">
        <f t="shared" si="8"/>
        <v>23</v>
      </c>
      <c r="E89" s="127">
        <f ca="1">VLOOKUP(A89,'States by Mo'!$A$3:$AD$53,30,)</f>
        <v>2.7183333333333337</v>
      </c>
      <c r="F89" s="99">
        <f t="shared" ca="1" si="9"/>
        <v>19</v>
      </c>
      <c r="G89" s="127">
        <f>VLOOKUP(A89,template!$A$3:$P$53,8,)</f>
        <v>1.02</v>
      </c>
      <c r="H89" s="99">
        <f t="shared" si="10"/>
        <v>17</v>
      </c>
      <c r="I89" s="153">
        <f ca="1">VLOOKUP(A89,'States by Mo'!$A$3:$BF$53,57,)</f>
        <v>0.86416666666666675</v>
      </c>
      <c r="J89" s="128">
        <f t="shared" ca="1" si="11"/>
        <v>31</v>
      </c>
    </row>
    <row r="90" spans="1:10" ht="12.75" customHeight="1" x14ac:dyDescent="0.3">
      <c r="A90" s="158" t="s">
        <v>27</v>
      </c>
      <c r="B90" s="124">
        <f>VLOOKUP(A90,template!$A$3:$P$53,15,)</f>
        <v>46204</v>
      </c>
      <c r="C90" s="127">
        <f>VLOOKUP(A90,template!$A$3:$P$53,7,)</f>
        <v>3.06</v>
      </c>
      <c r="D90" s="99">
        <f t="shared" si="8"/>
        <v>22</v>
      </c>
      <c r="E90" s="127">
        <f ca="1">VLOOKUP(A90,'States by Mo'!$A$3:$AD$53,30,)</f>
        <v>2.645833333333333</v>
      </c>
      <c r="F90" s="99">
        <f t="shared" ca="1" si="9"/>
        <v>17</v>
      </c>
      <c r="G90" s="127">
        <f>VLOOKUP(A90,template!$A$3:$P$53,8,)</f>
        <v>0.9</v>
      </c>
      <c r="H90" s="99">
        <f t="shared" si="10"/>
        <v>27</v>
      </c>
      <c r="I90" s="153">
        <f ca="1">VLOOKUP(A90,'States by Mo'!$A$3:$BF$53,57,)</f>
        <v>0.77</v>
      </c>
      <c r="J90" s="128">
        <f t="shared" ca="1" si="11"/>
        <v>46</v>
      </c>
    </row>
    <row r="91" spans="1:10" ht="12.75" customHeight="1" x14ac:dyDescent="0.3">
      <c r="A91" s="158" t="s">
        <v>59</v>
      </c>
      <c r="B91" s="124">
        <f>VLOOKUP(A91,template!$A$3:$P$53,15,)</f>
        <v>46204</v>
      </c>
      <c r="C91" s="127">
        <f>VLOOKUP(A91,template!$A$3:$P$53,7,)</f>
        <v>3.04</v>
      </c>
      <c r="D91" s="99">
        <f t="shared" si="8"/>
        <v>21</v>
      </c>
      <c r="E91" s="127">
        <f ca="1">VLOOKUP(A91,'States by Mo'!$A$3:$AD$53,30,)</f>
        <v>2.3958333333333335</v>
      </c>
      <c r="F91" s="99">
        <f t="shared" ca="1" si="9"/>
        <v>13</v>
      </c>
      <c r="G91" s="127">
        <f>VLOOKUP(A91,template!$A$3:$P$53,8,)</f>
        <v>0.63</v>
      </c>
      <c r="H91" s="99">
        <f t="shared" si="10"/>
        <v>45</v>
      </c>
      <c r="I91" s="153">
        <f ca="1">VLOOKUP(A91,'States by Mo'!$A$3:$BF$53,57,)</f>
        <v>0.86000000000000021</v>
      </c>
      <c r="J91" s="128">
        <f t="shared" ca="1" si="11"/>
        <v>32</v>
      </c>
    </row>
    <row r="92" spans="1:10" ht="12.75" customHeight="1" x14ac:dyDescent="0.3">
      <c r="A92" s="158" t="s">
        <v>25</v>
      </c>
      <c r="B92" s="124">
        <f>VLOOKUP(A92,template!$A$3:$P$53,15,)</f>
        <v>46113</v>
      </c>
      <c r="C92" s="127">
        <f>VLOOKUP(A92,template!$A$3:$P$53,7,)</f>
        <v>2.85</v>
      </c>
      <c r="D92" s="99">
        <f t="shared" si="8"/>
        <v>20</v>
      </c>
      <c r="E92" s="127">
        <f ca="1">VLOOKUP(A92,'States by Mo'!$A$3:$AD$53,30,)</f>
        <v>2.4625000000000004</v>
      </c>
      <c r="F92" s="99">
        <f t="shared" ca="1" si="9"/>
        <v>14</v>
      </c>
      <c r="G92" s="127">
        <f>VLOOKUP(A92,template!$A$3:$P$53,8,)</f>
        <v>1.04</v>
      </c>
      <c r="H92" s="99">
        <f t="shared" si="10"/>
        <v>16</v>
      </c>
      <c r="I92" s="153">
        <f ca="1">VLOOKUP(A92,'States by Mo'!$A$3:$BF$53,57,)</f>
        <v>0.83833333333333326</v>
      </c>
      <c r="J92" s="128">
        <f t="shared" ca="1" si="11"/>
        <v>35</v>
      </c>
    </row>
    <row r="93" spans="1:10" ht="12.75" customHeight="1" x14ac:dyDescent="0.3">
      <c r="A93" s="158" t="s">
        <v>24</v>
      </c>
      <c r="B93" s="124">
        <f>VLOOKUP(A93,template!$A$3:$P$53,15,)</f>
        <v>46204</v>
      </c>
      <c r="C93" s="127">
        <f>VLOOKUP(A93,template!$A$3:$P$53,7,)</f>
        <v>2.77</v>
      </c>
      <c r="D93" s="99">
        <f t="shared" si="8"/>
        <v>19</v>
      </c>
      <c r="E93" s="127">
        <f ca="1">VLOOKUP(A93,'States by Mo'!$A$3:$AD$53,30,)</f>
        <v>3.0900000000000003</v>
      </c>
      <c r="F93" s="99">
        <f t="shared" ca="1" si="9"/>
        <v>25</v>
      </c>
      <c r="G93" s="127">
        <f>VLOOKUP(A93,template!$A$3:$P$53,8,)</f>
        <v>0.59</v>
      </c>
      <c r="H93" s="99">
        <f t="shared" si="10"/>
        <v>46</v>
      </c>
      <c r="I93" s="153">
        <f ca="1">VLOOKUP(A93,'States by Mo'!$A$3:$BF$53,57,)</f>
        <v>0.8025000000000001</v>
      </c>
      <c r="J93" s="128">
        <f t="shared" ca="1" si="11"/>
        <v>42</v>
      </c>
    </row>
    <row r="94" spans="1:10" ht="12.75" customHeight="1" x14ac:dyDescent="0.3">
      <c r="A94" s="158" t="s">
        <v>51</v>
      </c>
      <c r="B94" s="124">
        <f>VLOOKUP(A94,template!$A$3:$P$53,15,)</f>
        <v>46023</v>
      </c>
      <c r="C94" s="127">
        <f>VLOOKUP(A94,template!$A$3:$P$53,7,)</f>
        <v>2.74</v>
      </c>
      <c r="D94" s="99">
        <f t="shared" ref="D94:D125" si="12">RANK(C94,$C$62:$C$111,1)</f>
        <v>18</v>
      </c>
      <c r="E94" s="127">
        <f ca="1">VLOOKUP(A94,'States by Mo'!$A$3:$AD$53,30,)</f>
        <v>3.1266666666666669</v>
      </c>
      <c r="F94" s="99">
        <f t="shared" ref="F94:F125" ca="1" si="13">RANK(E94,$E$62:$E$111,1)</f>
        <v>27</v>
      </c>
      <c r="G94" s="127">
        <f>VLOOKUP(A94,template!$A$3:$P$53,8,)</f>
        <v>0.97</v>
      </c>
      <c r="H94" s="99">
        <f t="shared" ref="H94:H125" si="14">RANK(G94,$G$62:$G$111,)</f>
        <v>22</v>
      </c>
      <c r="I94" s="153">
        <f ca="1">VLOOKUP(A94,'States by Mo'!$A$3:$BF$53,57,)</f>
        <v>0.95666666666666689</v>
      </c>
      <c r="J94" s="128">
        <f t="shared" ref="J94:J125" ca="1" si="15">RANK(I94,$I$62:$I$111,)</f>
        <v>19</v>
      </c>
    </row>
    <row r="95" spans="1:10" ht="12.75" customHeight="1" x14ac:dyDescent="0.3">
      <c r="A95" s="158" t="s">
        <v>63</v>
      </c>
      <c r="B95" s="124">
        <f>VLOOKUP(A95,template!$A$3:$P$53,15,)</f>
        <v>46113</v>
      </c>
      <c r="C95" s="127">
        <f>VLOOKUP(A95,template!$A$3:$P$53,7,)</f>
        <v>2.71</v>
      </c>
      <c r="D95" s="99">
        <f t="shared" si="12"/>
        <v>17</v>
      </c>
      <c r="E95" s="127">
        <f ca="1">VLOOKUP(A95,'States by Mo'!$A$3:$AD$53,30,)</f>
        <v>2.1166666666666667</v>
      </c>
      <c r="F95" s="99">
        <f t="shared" ca="1" si="13"/>
        <v>8</v>
      </c>
      <c r="G95" s="127">
        <f>VLOOKUP(A95,template!$A$3:$P$53,8,)</f>
        <v>0.8</v>
      </c>
      <c r="H95" s="99">
        <f t="shared" si="14"/>
        <v>35</v>
      </c>
      <c r="I95" s="153">
        <f ca="1">VLOOKUP(A95,'States by Mo'!$A$3:$BF$53,57,)</f>
        <v>0.85166666666666668</v>
      </c>
      <c r="J95" s="128">
        <f t="shared" ca="1" si="15"/>
        <v>33</v>
      </c>
    </row>
    <row r="96" spans="1:10" ht="12.75" customHeight="1" x14ac:dyDescent="0.3">
      <c r="A96" s="158" t="s">
        <v>19</v>
      </c>
      <c r="B96" s="124">
        <f>VLOOKUP(A96,template!$A$3:$P$53,15,)</f>
        <v>46204</v>
      </c>
      <c r="C96" s="127">
        <f>VLOOKUP(A96,template!$A$3:$P$53,7,)</f>
        <v>2.63</v>
      </c>
      <c r="D96" s="99">
        <f t="shared" si="12"/>
        <v>16</v>
      </c>
      <c r="E96" s="127">
        <f ca="1">VLOOKUP(A96,'States by Mo'!$A$3:$AD$53,30,)</f>
        <v>3.3533333333333335</v>
      </c>
      <c r="F96" s="99">
        <f t="shared" ca="1" si="13"/>
        <v>32</v>
      </c>
      <c r="G96" s="127">
        <f>VLOOKUP(A96,template!$A$3:$P$53,8,)</f>
        <v>1.78</v>
      </c>
      <c r="H96" s="99">
        <f t="shared" si="14"/>
        <v>2</v>
      </c>
      <c r="I96" s="153">
        <f ca="1">VLOOKUP(A96,'States by Mo'!$A$3:$BF$53,57,)</f>
        <v>1.4916666666666665</v>
      </c>
      <c r="J96" s="128">
        <f t="shared" ca="1" si="15"/>
        <v>4</v>
      </c>
    </row>
    <row r="97" spans="1:10" ht="12.75" customHeight="1" x14ac:dyDescent="0.3">
      <c r="A97" s="158" t="s">
        <v>37</v>
      </c>
      <c r="B97" s="124">
        <f>VLOOKUP(A97,template!$A$3:$P$53,15,)</f>
        <v>46204</v>
      </c>
      <c r="C97" s="127">
        <f>VLOOKUP(A97,template!$A$3:$P$53,7,)</f>
        <v>2.59</v>
      </c>
      <c r="D97" s="99">
        <f t="shared" si="12"/>
        <v>15</v>
      </c>
      <c r="E97" s="127">
        <f ca="1">VLOOKUP(A97,'States by Mo'!$A$3:$AD$53,30,)</f>
        <v>2.7958333333333329</v>
      </c>
      <c r="F97" s="99">
        <f t="shared" ca="1" si="13"/>
        <v>20</v>
      </c>
      <c r="G97" s="127">
        <f>VLOOKUP(A97,template!$A$3:$P$53,8,)</f>
        <v>1</v>
      </c>
      <c r="H97" s="99">
        <f t="shared" si="14"/>
        <v>20</v>
      </c>
      <c r="I97" s="153">
        <f ca="1">VLOOKUP(A97,'States by Mo'!$A$3:$BF$53,57,)</f>
        <v>0.83666666666666678</v>
      </c>
      <c r="J97" s="128">
        <f t="shared" ca="1" si="15"/>
        <v>36</v>
      </c>
    </row>
    <row r="98" spans="1:10" ht="12.75" customHeight="1" x14ac:dyDescent="0.3">
      <c r="A98" s="158" t="s">
        <v>32</v>
      </c>
      <c r="B98" s="124">
        <f>VLOOKUP(A98,template!$A$3:$P$53,15,)</f>
        <v>46023</v>
      </c>
      <c r="C98" s="127">
        <f>VLOOKUP(A98,template!$A$3:$P$53,7,)</f>
        <v>2.5299999999999998</v>
      </c>
      <c r="D98" s="99">
        <f t="shared" si="12"/>
        <v>14</v>
      </c>
      <c r="E98" s="127">
        <f ca="1">VLOOKUP(A98,'States by Mo'!$A$3:$AD$53,30,)</f>
        <v>1.9758333333333333</v>
      </c>
      <c r="F98" s="99">
        <f t="shared" ca="1" si="13"/>
        <v>6</v>
      </c>
      <c r="G98" s="127">
        <f>VLOOKUP(A98,template!$A$3:$P$53,8,)</f>
        <v>0.77</v>
      </c>
      <c r="H98" s="99">
        <f t="shared" si="14"/>
        <v>37</v>
      </c>
      <c r="I98" s="153">
        <f ca="1">VLOOKUP(A98,'States by Mo'!$A$3:$BF$53,57,)</f>
        <v>0.93083333333333351</v>
      </c>
      <c r="J98" s="128">
        <f t="shared" ca="1" si="15"/>
        <v>22</v>
      </c>
    </row>
    <row r="99" spans="1:10" ht="12.75" customHeight="1" x14ac:dyDescent="0.3">
      <c r="A99" s="158" t="s">
        <v>18</v>
      </c>
      <c r="B99" s="124">
        <f>VLOOKUP(A99,template!$A$3:$P$53,15,)</f>
        <v>46204</v>
      </c>
      <c r="C99" s="127">
        <f>VLOOKUP(A99,template!$A$3:$P$53,7,)</f>
        <v>2.4700000000000002</v>
      </c>
      <c r="D99" s="99">
        <f t="shared" si="12"/>
        <v>13</v>
      </c>
      <c r="E99" s="127">
        <f ca="1">VLOOKUP(A99,'States by Mo'!$A$3:$AD$53,30,)</f>
        <v>2.6541666666666668</v>
      </c>
      <c r="F99" s="99">
        <f t="shared" ca="1" si="13"/>
        <v>18</v>
      </c>
      <c r="G99" s="127">
        <f>VLOOKUP(A99,template!$A$3:$P$53,8,)</f>
        <v>1.44</v>
      </c>
      <c r="H99" s="99">
        <f t="shared" si="14"/>
        <v>6</v>
      </c>
      <c r="I99" s="153">
        <f ca="1">VLOOKUP(A99,'States by Mo'!$A$3:$BF$53,57,)</f>
        <v>1.55</v>
      </c>
      <c r="J99" s="128">
        <f t="shared" ca="1" si="15"/>
        <v>2</v>
      </c>
    </row>
    <row r="100" spans="1:10" ht="12.75" customHeight="1" x14ac:dyDescent="0.3">
      <c r="A100" s="158" t="s">
        <v>34</v>
      </c>
      <c r="B100" s="124">
        <f>VLOOKUP(A100,template!$A$3:$P$53,15,)</f>
        <v>46113</v>
      </c>
      <c r="C100" s="127">
        <f>VLOOKUP(A100,template!$A$3:$P$53,7,)</f>
        <v>2.4500000000000002</v>
      </c>
      <c r="D100" s="99">
        <f t="shared" si="12"/>
        <v>12</v>
      </c>
      <c r="E100" s="127">
        <f ca="1">VLOOKUP(A100,'States by Mo'!$A$3:$AD$53,30,)</f>
        <v>2.1274999999999999</v>
      </c>
      <c r="F100" s="99">
        <f t="shared" ca="1" si="13"/>
        <v>10</v>
      </c>
      <c r="G100" s="127">
        <f>VLOOKUP(A100,template!$A$3:$P$53,8,)</f>
        <v>1.25</v>
      </c>
      <c r="H100" s="99">
        <f t="shared" si="14"/>
        <v>10</v>
      </c>
      <c r="I100" s="153">
        <f ca="1">VLOOKUP(A100,'States by Mo'!$A$3:$BF$53,57,)</f>
        <v>1.3383333333333336</v>
      </c>
      <c r="J100" s="128">
        <f t="shared" ca="1" si="15"/>
        <v>8</v>
      </c>
    </row>
    <row r="101" spans="1:10" ht="12.75" customHeight="1" x14ac:dyDescent="0.3">
      <c r="A101" s="158" t="s">
        <v>17</v>
      </c>
      <c r="B101" s="124">
        <f>VLOOKUP(A101,template!$A$3:$P$53,15,)</f>
        <v>46204</v>
      </c>
      <c r="C101" s="127">
        <f>VLOOKUP(A101,template!$A$3:$P$53,7,)</f>
        <v>2.33</v>
      </c>
      <c r="D101" s="99">
        <f t="shared" si="12"/>
        <v>11</v>
      </c>
      <c r="E101" s="127">
        <f ca="1">VLOOKUP(A101,'States by Mo'!$A$3:$AD$53,30,)</f>
        <v>1.8758333333333332</v>
      </c>
      <c r="F101" s="99">
        <f t="shared" ca="1" si="13"/>
        <v>4</v>
      </c>
      <c r="G101" s="127">
        <f>VLOOKUP(A101,template!$A$3:$P$53,8,)</f>
        <v>0.98</v>
      </c>
      <c r="H101" s="99">
        <f t="shared" si="14"/>
        <v>21</v>
      </c>
      <c r="I101" s="153">
        <f ca="1">VLOOKUP(A101,'States by Mo'!$A$3:$BF$53,57,)</f>
        <v>1.1166666666666665</v>
      </c>
      <c r="J101" s="128">
        <f t="shared" ca="1" si="15"/>
        <v>13</v>
      </c>
    </row>
    <row r="102" spans="1:10" ht="12.75" customHeight="1" x14ac:dyDescent="0.3">
      <c r="A102" s="158" t="s">
        <v>58</v>
      </c>
      <c r="B102" s="124">
        <f>VLOOKUP(A102,template!$A$3:$P$53,15,)</f>
        <v>46204</v>
      </c>
      <c r="C102" s="127">
        <f>VLOOKUP(A102,template!$A$3:$P$53,7,)</f>
        <v>2.21</v>
      </c>
      <c r="D102" s="99">
        <f t="shared" si="12"/>
        <v>10</v>
      </c>
      <c r="E102" s="127">
        <f ca="1">VLOOKUP(A102,'States by Mo'!$A$3:$AD$53,30,)</f>
        <v>1.509166666666667</v>
      </c>
      <c r="F102" s="99">
        <f t="shared" ca="1" si="13"/>
        <v>2</v>
      </c>
      <c r="G102" s="127">
        <f>VLOOKUP(A102,template!$A$3:$P$53,8,)</f>
        <v>0.67</v>
      </c>
      <c r="H102" s="99">
        <f t="shared" si="14"/>
        <v>43</v>
      </c>
      <c r="I102" s="153">
        <f ca="1">VLOOKUP(A102,'States by Mo'!$A$3:$BF$53,57,)</f>
        <v>0.89500000000000002</v>
      </c>
      <c r="J102" s="128">
        <f t="shared" ca="1" si="15"/>
        <v>27</v>
      </c>
    </row>
    <row r="103" spans="1:10" ht="12.75" customHeight="1" x14ac:dyDescent="0.3">
      <c r="A103" s="158" t="s">
        <v>41</v>
      </c>
      <c r="B103" s="124">
        <f>VLOOKUP(A103,template!$A$3:$P$53,15,)</f>
        <v>46204</v>
      </c>
      <c r="C103" s="127">
        <f>VLOOKUP(A103,template!$A$3:$P$53,7,)</f>
        <v>2.19</v>
      </c>
      <c r="D103" s="99">
        <f t="shared" si="12"/>
        <v>9</v>
      </c>
      <c r="E103" s="127">
        <f ca="1">VLOOKUP(A103,'States by Mo'!$A$3:$AD$53,30,)</f>
        <v>1.9675000000000002</v>
      </c>
      <c r="F103" s="99">
        <f t="shared" ca="1" si="13"/>
        <v>5</v>
      </c>
      <c r="G103" s="127">
        <f>VLOOKUP(A103,template!$A$3:$P$53,8,)</f>
        <v>1.7</v>
      </c>
      <c r="H103" s="99">
        <f t="shared" si="14"/>
        <v>4</v>
      </c>
      <c r="I103" s="153">
        <f ca="1">VLOOKUP(A103,'States by Mo'!$A$3:$BF$53,57,)</f>
        <v>1.2683333333333333</v>
      </c>
      <c r="J103" s="128">
        <f t="shared" ca="1" si="15"/>
        <v>9</v>
      </c>
    </row>
    <row r="104" spans="1:10" ht="12.75" customHeight="1" x14ac:dyDescent="0.3">
      <c r="A104" s="158" t="s">
        <v>57</v>
      </c>
      <c r="B104" s="124">
        <f>VLOOKUP(A104,template!$A$3:$P$53,15,)</f>
        <v>46266</v>
      </c>
      <c r="C104" s="127">
        <f>VLOOKUP(A104,template!$A$3:$P$53,7,)</f>
        <v>2.14</v>
      </c>
      <c r="D104" s="99">
        <f t="shared" si="12"/>
        <v>8</v>
      </c>
      <c r="E104" s="127">
        <f ca="1">VLOOKUP(A104,'States by Mo'!$A$3:$AD$53,30,)</f>
        <v>2.5558333333333336</v>
      </c>
      <c r="F104" s="99">
        <f t="shared" ca="1" si="13"/>
        <v>15</v>
      </c>
      <c r="G104" s="127">
        <f>VLOOKUP(A104,template!$A$3:$P$53,8,)</f>
        <v>0.83</v>
      </c>
      <c r="H104" s="99">
        <f t="shared" si="14"/>
        <v>34</v>
      </c>
      <c r="I104" s="153">
        <f ca="1">VLOOKUP(A104,'States by Mo'!$A$3:$BF$53,57,)</f>
        <v>0.91499999999999992</v>
      </c>
      <c r="J104" s="128">
        <f t="shared" ca="1" si="15"/>
        <v>23</v>
      </c>
    </row>
    <row r="105" spans="1:10" ht="12.75" customHeight="1" x14ac:dyDescent="0.3">
      <c r="A105" s="158" t="s">
        <v>42</v>
      </c>
      <c r="B105" s="124">
        <f>VLOOKUP(A105,template!$A$3:$P$53,15,)</f>
        <v>46023</v>
      </c>
      <c r="C105" s="127">
        <f>VLOOKUP(A105,template!$A$3:$P$53,7,)</f>
        <v>2.13</v>
      </c>
      <c r="D105" s="99">
        <f t="shared" si="12"/>
        <v>6</v>
      </c>
      <c r="E105" s="127">
        <f ca="1">VLOOKUP(A105,'States by Mo'!$A$3:$AD$53,30,)</f>
        <v>2.6266666666666665</v>
      </c>
      <c r="F105" s="99">
        <f t="shared" ca="1" si="13"/>
        <v>16</v>
      </c>
      <c r="G105" s="127">
        <f>VLOOKUP(A105,template!$A$3:$P$53,8,)</f>
        <v>1.0900000000000001</v>
      </c>
      <c r="H105" s="99">
        <f t="shared" si="14"/>
        <v>14</v>
      </c>
      <c r="I105" s="153">
        <f ca="1">VLOOKUP(A105,'States by Mo'!$A$3:$BF$53,57,)</f>
        <v>0.9</v>
      </c>
      <c r="J105" s="128">
        <f t="shared" ca="1" si="15"/>
        <v>25</v>
      </c>
    </row>
    <row r="106" spans="1:10" ht="12.75" customHeight="1" x14ac:dyDescent="0.3">
      <c r="A106" s="158" t="s">
        <v>15</v>
      </c>
      <c r="B106" s="124">
        <f>VLOOKUP(A106,template!$A$3:$P$53,15,)</f>
        <v>46113</v>
      </c>
      <c r="C106" s="127">
        <f>VLOOKUP(A106,template!$A$3:$P$53,7,)</f>
        <v>2.13</v>
      </c>
      <c r="D106" s="99">
        <f t="shared" si="12"/>
        <v>6</v>
      </c>
      <c r="E106" s="127">
        <f ca="1">VLOOKUP(A106,'States by Mo'!$A$3:$AD$53,30,)</f>
        <v>2.3174999999999999</v>
      </c>
      <c r="F106" s="99">
        <f t="shared" ca="1" si="13"/>
        <v>12</v>
      </c>
      <c r="G106" s="127">
        <f>VLOOKUP(A106,template!$A$3:$P$53,8,)</f>
        <v>0.87</v>
      </c>
      <c r="H106" s="99">
        <f t="shared" si="14"/>
        <v>31</v>
      </c>
      <c r="I106" s="153">
        <f ca="1">VLOOKUP(A106,'States by Mo'!$A$3:$BF$53,57,)</f>
        <v>0.90583333333333327</v>
      </c>
      <c r="J106" s="128">
        <f t="shared" ca="1" si="15"/>
        <v>24</v>
      </c>
    </row>
    <row r="107" spans="1:10" ht="12.75" customHeight="1" x14ac:dyDescent="0.3">
      <c r="A107" s="158" t="s">
        <v>22</v>
      </c>
      <c r="B107" s="124">
        <f>VLOOKUP(A107,template!$A$3:$P$53,15,)</f>
        <v>46204</v>
      </c>
      <c r="C107" s="127">
        <f>VLOOKUP(A107,template!$A$3:$P$53,7,)</f>
        <v>2.0699999999999998</v>
      </c>
      <c r="D107" s="99">
        <f t="shared" si="12"/>
        <v>5</v>
      </c>
      <c r="E107" s="127">
        <f ca="1">VLOOKUP(A107,'States by Mo'!$A$3:$AD$53,30,)</f>
        <v>1.2075</v>
      </c>
      <c r="F107" s="99">
        <f t="shared" ca="1" si="13"/>
        <v>1</v>
      </c>
      <c r="G107" s="127">
        <f>VLOOKUP(A107,template!$A$3:$P$53,8,)</f>
        <v>0.59</v>
      </c>
      <c r="H107" s="99">
        <f t="shared" si="14"/>
        <v>46</v>
      </c>
      <c r="I107" s="153">
        <f ca="1">VLOOKUP(A107,'States by Mo'!$A$3:$BF$53,57,)</f>
        <v>0.79500000000000004</v>
      </c>
      <c r="J107" s="128">
        <f t="shared" ca="1" si="15"/>
        <v>44</v>
      </c>
    </row>
    <row r="108" spans="1:10" ht="12.75" customHeight="1" x14ac:dyDescent="0.3">
      <c r="A108" s="158" t="s">
        <v>31</v>
      </c>
      <c r="B108" s="124">
        <f>VLOOKUP(A108,template!$A$3:$P$53,15,)</f>
        <v>46113</v>
      </c>
      <c r="C108" s="127">
        <f>VLOOKUP(A108,template!$A$3:$P$53,7,)</f>
        <v>2.0299999999999998</v>
      </c>
      <c r="D108" s="99">
        <f t="shared" si="12"/>
        <v>4</v>
      </c>
      <c r="E108" s="127">
        <f ca="1">VLOOKUP(A108,'States by Mo'!$A$3:$AD$53,30,)</f>
        <v>2.2525000000000004</v>
      </c>
      <c r="F108" s="99">
        <f t="shared" ca="1" si="13"/>
        <v>11</v>
      </c>
      <c r="G108" s="127">
        <f>VLOOKUP(A108,template!$A$3:$P$53,8,)</f>
        <v>0.91</v>
      </c>
      <c r="H108" s="99">
        <f t="shared" si="14"/>
        <v>26</v>
      </c>
      <c r="I108" s="153">
        <f ca="1">VLOOKUP(A108,'States by Mo'!$A$3:$BF$53,57,)</f>
        <v>0.89749999999999996</v>
      </c>
      <c r="J108" s="128">
        <f t="shared" ca="1" si="15"/>
        <v>26</v>
      </c>
    </row>
    <row r="109" spans="1:10" ht="12.75" customHeight="1" x14ac:dyDescent="0.3">
      <c r="A109" s="158" t="s">
        <v>49</v>
      </c>
      <c r="B109" s="124">
        <f>VLOOKUP(A109,template!$A$3:$P$53,15,)</f>
        <v>46113</v>
      </c>
      <c r="C109" s="127">
        <f>VLOOKUP(A109,template!$A$3:$P$53,7,)</f>
        <v>1.78</v>
      </c>
      <c r="D109" s="99">
        <f t="shared" si="12"/>
        <v>3</v>
      </c>
      <c r="E109" s="127">
        <f ca="1">VLOOKUP(A109,'States by Mo'!$A$3:$AD$53,30,)</f>
        <v>2.1225000000000001</v>
      </c>
      <c r="F109" s="99">
        <f t="shared" ca="1" si="13"/>
        <v>9</v>
      </c>
      <c r="G109" s="127">
        <f>VLOOKUP(A109,template!$A$3:$P$53,8,)</f>
        <v>0.77</v>
      </c>
      <c r="H109" s="99">
        <f t="shared" si="14"/>
        <v>37</v>
      </c>
      <c r="I109" s="153">
        <f ca="1">VLOOKUP(A109,'States by Mo'!$A$3:$BF$53,57,)</f>
        <v>0.88083333333333347</v>
      </c>
      <c r="J109" s="128">
        <f t="shared" ca="1" si="15"/>
        <v>29</v>
      </c>
    </row>
    <row r="110" spans="1:10" ht="12.75" customHeight="1" x14ac:dyDescent="0.3">
      <c r="A110" s="158" t="s">
        <v>48</v>
      </c>
      <c r="B110" s="124">
        <f>VLOOKUP(A110,template!$A$3:$P$53,15,)</f>
        <v>46204</v>
      </c>
      <c r="C110" s="127">
        <f>VLOOKUP(A110,template!$A$3:$P$53,7,)</f>
        <v>1.6</v>
      </c>
      <c r="D110" s="99">
        <f t="shared" si="12"/>
        <v>2</v>
      </c>
      <c r="E110" s="127">
        <f ca="1">VLOOKUP(A110,'States by Mo'!$A$3:$AD$53,30,)</f>
        <v>2.0158333333333336</v>
      </c>
      <c r="F110" s="99">
        <f t="shared" ca="1" si="13"/>
        <v>7</v>
      </c>
      <c r="G110" s="127">
        <f>VLOOKUP(A110,template!$A$3:$P$53,8,)</f>
        <v>0.92</v>
      </c>
      <c r="H110" s="99">
        <f t="shared" si="14"/>
        <v>24</v>
      </c>
      <c r="I110" s="153">
        <f ca="1">VLOOKUP(A110,'States by Mo'!$A$3:$BF$53,57,)</f>
        <v>0.94249999999999989</v>
      </c>
      <c r="J110" s="128">
        <f t="shared" ca="1" si="15"/>
        <v>21</v>
      </c>
    </row>
    <row r="111" spans="1:10" ht="12.75" customHeight="1" x14ac:dyDescent="0.3">
      <c r="A111" s="159" t="s">
        <v>50</v>
      </c>
      <c r="B111" s="160">
        <f>VLOOKUP(A111,template!$A$3:$P$53,15,)</f>
        <v>46023</v>
      </c>
      <c r="C111" s="161">
        <f>VLOOKUP(A111,template!$A$3:$P$53,7,)</f>
        <v>1.56</v>
      </c>
      <c r="D111" s="162">
        <f t="shared" si="12"/>
        <v>1</v>
      </c>
      <c r="E111" s="161">
        <f ca="1">VLOOKUP(A111,'States by Mo'!$A$3:$AD$53,30,)</f>
        <v>1.8174999999999999</v>
      </c>
      <c r="F111" s="162">
        <f t="shared" ca="1" si="13"/>
        <v>3</v>
      </c>
      <c r="G111" s="161">
        <f>VLOOKUP(A111,template!$A$3:$P$53,8,)</f>
        <v>1.28</v>
      </c>
      <c r="H111" s="162">
        <f t="shared" si="14"/>
        <v>8</v>
      </c>
      <c r="I111" s="163">
        <f ca="1">VLOOKUP(A111,'States by Mo'!$A$3:$BF$53,57,)</f>
        <v>1.3608333333333331</v>
      </c>
      <c r="J111" s="164">
        <f t="shared" ca="1" si="15"/>
        <v>5</v>
      </c>
    </row>
    <row r="112" spans="1:10" s="150" customFormat="1" x14ac:dyDescent="0.3">
      <c r="A112" s="126"/>
      <c r="B112" s="146"/>
      <c r="C112" s="147"/>
      <c r="D112" s="148"/>
      <c r="E112" s="147"/>
      <c r="F112" s="148"/>
      <c r="G112" s="147"/>
      <c r="H112" s="148"/>
      <c r="I112" s="149"/>
      <c r="J112" s="148"/>
    </row>
  </sheetData>
  <mergeCells count="1">
    <mergeCell ref="D1:H1"/>
  </mergeCells>
  <phoneticPr fontId="0" type="noConversion"/>
  <conditionalFormatting sqref="G3:G53 I3:I53 G62:G112 I62:I112">
    <cfRule type="cellIs" dxfId="79" priority="51" stopIfTrue="1" operator="between">
      <formula>0.001</formula>
      <formula>0.9999</formula>
    </cfRule>
    <cfRule type="cellIs" dxfId="78" priority="52" stopIfTrue="1" operator="greaterThanOrEqual">
      <formula>1</formula>
    </cfRule>
  </conditionalFormatting>
  <conditionalFormatting sqref="C3:C53 E3:E53 C62:C112 E62:E112">
    <cfRule type="cellIs" dxfId="77" priority="53" stopIfTrue="1" operator="between">
      <formula>2</formula>
      <formula>2.5</formula>
    </cfRule>
    <cfRule type="cellIs" dxfId="76" priority="54" stopIfTrue="1" operator="greaterThan">
      <formula>2.5</formula>
    </cfRule>
  </conditionalFormatting>
  <conditionalFormatting sqref="A3:J3">
    <cfRule type="expression" dxfId="75" priority="50">
      <formula>NOT(B3=B2)</formula>
    </cfRule>
  </conditionalFormatting>
  <conditionalFormatting sqref="A4:J4">
    <cfRule type="expression" dxfId="74" priority="49">
      <formula>NOT($B4=$B3)</formula>
    </cfRule>
  </conditionalFormatting>
  <conditionalFormatting sqref="A5:J5">
    <cfRule type="expression" dxfId="73" priority="48">
      <formula>NOT($B$5=$B$4)</formula>
    </cfRule>
  </conditionalFormatting>
  <conditionalFormatting sqref="A17:J17">
    <cfRule type="expression" dxfId="72" priority="47">
      <formula>NOT($B$17=$B$16)</formula>
    </cfRule>
  </conditionalFormatting>
  <conditionalFormatting sqref="A6:J6">
    <cfRule type="expression" dxfId="71" priority="46">
      <formula>NOT($B$6=$B$5)</formula>
    </cfRule>
  </conditionalFormatting>
  <conditionalFormatting sqref="A7:J7">
    <cfRule type="expression" dxfId="70" priority="45">
      <formula>NOT($B$7=$B$6)</formula>
    </cfRule>
  </conditionalFormatting>
  <conditionalFormatting sqref="A8:J8">
    <cfRule type="expression" dxfId="69" priority="44">
      <formula>NOT($B$8=$B$7)</formula>
    </cfRule>
  </conditionalFormatting>
  <conditionalFormatting sqref="A9:J9">
    <cfRule type="expression" dxfId="68" priority="43">
      <formula>NOT($B$9=$B$8)</formula>
    </cfRule>
  </conditionalFormatting>
  <conditionalFormatting sqref="A10:J10">
    <cfRule type="expression" dxfId="67" priority="42">
      <formula>NOT($B$10=$B$9)</formula>
    </cfRule>
  </conditionalFormatting>
  <conditionalFormatting sqref="A11:J11">
    <cfRule type="expression" dxfId="66" priority="41">
      <formula>NOT($B$11=$B$10)</formula>
    </cfRule>
  </conditionalFormatting>
  <conditionalFormatting sqref="A12:J12">
    <cfRule type="expression" dxfId="65" priority="40">
      <formula>NOT($B$12=$B$11)</formula>
    </cfRule>
  </conditionalFormatting>
  <conditionalFormatting sqref="A13:J13">
    <cfRule type="expression" dxfId="64" priority="39">
      <formula>NOT($B$13=$B$12)</formula>
    </cfRule>
  </conditionalFormatting>
  <conditionalFormatting sqref="A14:J14">
    <cfRule type="expression" dxfId="63" priority="38">
      <formula>NOT($B$14=$B$13)</formula>
    </cfRule>
  </conditionalFormatting>
  <conditionalFormatting sqref="A15:J15">
    <cfRule type="expression" dxfId="62" priority="37">
      <formula>NOT($B$15=$B$14)</formula>
    </cfRule>
  </conditionalFormatting>
  <conditionalFormatting sqref="A16:J16">
    <cfRule type="expression" dxfId="61" priority="36">
      <formula>NOT($B$16=$B$15)</formula>
    </cfRule>
  </conditionalFormatting>
  <conditionalFormatting sqref="A18:J18">
    <cfRule type="expression" dxfId="60" priority="35">
      <formula>NOT($B$18=$B$17)</formula>
    </cfRule>
  </conditionalFormatting>
  <conditionalFormatting sqref="A19:J19">
    <cfRule type="expression" dxfId="59" priority="34">
      <formula>NOT($B$19=$B$18)</formula>
    </cfRule>
  </conditionalFormatting>
  <conditionalFormatting sqref="A20:J20">
    <cfRule type="expression" dxfId="58" priority="33">
      <formula>NOT($B$20=$B$19)</formula>
    </cfRule>
  </conditionalFormatting>
  <conditionalFormatting sqref="A21:J21">
    <cfRule type="expression" dxfId="57" priority="32">
      <formula>NOT($B$21=$B$20)</formula>
    </cfRule>
  </conditionalFormatting>
  <conditionalFormatting sqref="A22:J22">
    <cfRule type="expression" dxfId="56" priority="31">
      <formula>NOT($B$22=$B$21)</formula>
    </cfRule>
  </conditionalFormatting>
  <conditionalFormatting sqref="A23:J23">
    <cfRule type="expression" dxfId="55" priority="30">
      <formula>NOT($B$23=$B$22)</formula>
    </cfRule>
  </conditionalFormatting>
  <conditionalFormatting sqref="A24:J24">
    <cfRule type="expression" dxfId="54" priority="29">
      <formula>NOT($B$24=$B$23)</formula>
    </cfRule>
  </conditionalFormatting>
  <conditionalFormatting sqref="A25:J25">
    <cfRule type="expression" dxfId="53" priority="28">
      <formula>NOT($B$25=$B$24)</formula>
    </cfRule>
  </conditionalFormatting>
  <conditionalFormatting sqref="A26:J26">
    <cfRule type="expression" dxfId="52" priority="27">
      <formula>NOT($B$26=$B$25)</formula>
    </cfRule>
  </conditionalFormatting>
  <conditionalFormatting sqref="A27:J27">
    <cfRule type="expression" dxfId="51" priority="26">
      <formula>NOT($B$28=$B$27)</formula>
    </cfRule>
  </conditionalFormatting>
  <conditionalFormatting sqref="A28:J28">
    <cfRule type="expression" dxfId="50" priority="25">
      <formula>NOT($B$28=$B$27)</formula>
    </cfRule>
  </conditionalFormatting>
  <conditionalFormatting sqref="A29:J29">
    <cfRule type="expression" dxfId="49" priority="24">
      <formula>NOT($B$29=$B$28)</formula>
    </cfRule>
  </conditionalFormatting>
  <conditionalFormatting sqref="A30:J30">
    <cfRule type="expression" dxfId="48" priority="23">
      <formula>NOT($B$30=$B$29)</formula>
    </cfRule>
  </conditionalFormatting>
  <conditionalFormatting sqref="A31:J31">
    <cfRule type="expression" dxfId="47" priority="22">
      <formula>NOT($B$31=$B$30)</formula>
    </cfRule>
  </conditionalFormatting>
  <conditionalFormatting sqref="A32:J32">
    <cfRule type="expression" dxfId="46" priority="21">
      <formula>NOT($B$32=$B$31)</formula>
    </cfRule>
  </conditionalFormatting>
  <conditionalFormatting sqref="A33:J33">
    <cfRule type="expression" dxfId="45" priority="20">
      <formula>NOT($B$31=$B$32)</formula>
    </cfRule>
  </conditionalFormatting>
  <conditionalFormatting sqref="A34:J34">
    <cfRule type="expression" dxfId="44" priority="19">
      <formula>NOT($B$34=$B$33)</formula>
    </cfRule>
  </conditionalFormatting>
  <conditionalFormatting sqref="A35:J35">
    <cfRule type="expression" dxfId="43" priority="18">
      <formula>NOT($B$35=$B$34)</formula>
    </cfRule>
  </conditionalFormatting>
  <conditionalFormatting sqref="A36:J36">
    <cfRule type="expression" dxfId="42" priority="17">
      <formula>NOT($B$36=$B$35)</formula>
    </cfRule>
  </conditionalFormatting>
  <conditionalFormatting sqref="A37:J37">
    <cfRule type="expression" dxfId="41" priority="16">
      <formula>NOT($B$37=$B$36)</formula>
    </cfRule>
  </conditionalFormatting>
  <conditionalFormatting sqref="A38:J38">
    <cfRule type="expression" dxfId="40" priority="15">
      <formula>NOT($B$38=$B$37)</formula>
    </cfRule>
  </conditionalFormatting>
  <conditionalFormatting sqref="A39:J39">
    <cfRule type="expression" dxfId="39" priority="14">
      <formula>NOT($B$39=$B$38)</formula>
    </cfRule>
  </conditionalFormatting>
  <conditionalFormatting sqref="A40:J40">
    <cfRule type="expression" dxfId="38" priority="13">
      <formula>NOT($B$40=$B$39)</formula>
    </cfRule>
  </conditionalFormatting>
  <conditionalFormatting sqref="A41:J41">
    <cfRule type="expression" dxfId="37" priority="12">
      <formula>NOT($B$41=$B$40)</formula>
    </cfRule>
  </conditionalFormatting>
  <conditionalFormatting sqref="A42:J42">
    <cfRule type="expression" dxfId="36" priority="11">
      <formula>NOT($B$42=$B$41)</formula>
    </cfRule>
  </conditionalFormatting>
  <conditionalFormatting sqref="A43:J43">
    <cfRule type="expression" dxfId="35" priority="10">
      <formula>NOT($B$43=$B$42)</formula>
    </cfRule>
  </conditionalFormatting>
  <conditionalFormatting sqref="A44:J44">
    <cfRule type="expression" dxfId="34" priority="9">
      <formula>NOT($B$44=$B$43)</formula>
    </cfRule>
  </conditionalFormatting>
  <conditionalFormatting sqref="A45:J45">
    <cfRule type="expression" dxfId="33" priority="8">
      <formula>NOT($B$45=$B$44)</formula>
    </cfRule>
  </conditionalFormatting>
  <conditionalFormatting sqref="A46:J46">
    <cfRule type="expression" dxfId="32" priority="7">
      <formula>NOT($B$46=$B$45)</formula>
    </cfRule>
  </conditionalFormatting>
  <conditionalFormatting sqref="A47:J47">
    <cfRule type="expression" dxfId="31" priority="6">
      <formula>NOT($B$47=$B$46)</formula>
    </cfRule>
  </conditionalFormatting>
  <conditionalFormatting sqref="A48:J48">
    <cfRule type="expression" dxfId="30" priority="5">
      <formula>NOT($B$48=$B$47)</formula>
    </cfRule>
  </conditionalFormatting>
  <conditionalFormatting sqref="A49:J49">
    <cfRule type="expression" dxfId="29" priority="4">
      <formula>NOT($B$49=$B$48)</formula>
    </cfRule>
  </conditionalFormatting>
  <conditionalFormatting sqref="A50:J50">
    <cfRule type="expression" dxfId="28" priority="3">
      <formula>NOT($B$50=$B$49)</formula>
    </cfRule>
  </conditionalFormatting>
  <conditionalFormatting sqref="A51:J51">
    <cfRule type="expression" dxfId="27" priority="2">
      <formula>NOT($B$51=$B$50)</formula>
    </cfRule>
  </conditionalFormatting>
  <conditionalFormatting sqref="A52:J52">
    <cfRule type="expression" dxfId="26" priority="1">
      <formula>NOT($B$52=$B$51)</formula>
    </cfRule>
  </conditionalFormatting>
  <printOptions gridLines="1"/>
  <pageMargins left="0.75" right="0.75" top="1" bottom="1" header="0.5" footer="0.5"/>
  <pageSetup scale="43" orientation="portrait" r:id="rId1"/>
  <headerFooter alignWithMargins="0">
    <oddHeader>&amp;C&amp;"Arial,Bold"LOCCS
State Allocation of Expenditure Report for CPD Block Grant Programs
&amp;A&amp;R&amp;8
States grouped by Program Year
sorted by Unspent Ratio for current month</oddHeader>
  </headerFooter>
  <rowBreaks count="1" manualBreakCount="1">
    <brk id="55" max="9" man="1"/>
  </rowBreaks>
  <colBreaks count="1" manualBreakCount="1">
    <brk id="2" max="111" man="1"/>
  </colBreaks>
  <drawing r:id="rId2"/>
  <legacyDrawing r:id="rId3"/>
  <mc:AlternateContent xmlns:mc="http://schemas.openxmlformats.org/markup-compatibility/2006">
    <mc:Choice Requires="x14">
      <controls>
        <mc:AlternateContent xmlns:mc="http://schemas.openxmlformats.org/markup-compatibility/2006">
          <mc:Choice Requires="x14">
            <control shapeId="113670" r:id="rId4" name="Button 6">
              <controlPr defaultSize="0" print="0" autoFill="0" autoPict="0" macro="[0]!SORTRANKINGS">
                <anchor moveWithCells="1" sizeWithCells="1">
                  <from>
                    <xdr:col>11</xdr:col>
                    <xdr:colOff>12700</xdr:colOff>
                    <xdr:row>1</xdr:row>
                    <xdr:rowOff>285750</xdr:rowOff>
                  </from>
                  <to>
                    <xdr:col>12</xdr:col>
                    <xdr:colOff>0</xdr:colOff>
                    <xdr:row>1</xdr:row>
                    <xdr:rowOff>546100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FE2AA-3685-44D3-A21F-3DB54A79F630}">
  <sheetPr codeName="Sheet6">
    <tabColor theme="9" tint="0.39997558519241921"/>
    <pageSetUpPr autoPageBreaks="0" fitToPage="1"/>
  </sheetPr>
  <dimension ref="A1:BF56"/>
  <sheetViews>
    <sheetView zoomScaleNormal="100" zoomScaleSheetLayoutView="40" workbookViewId="0">
      <pane xSplit="2" ySplit="2" topLeftCell="N3" activePane="bottomRight" state="frozen"/>
      <selection activeCell="A3" sqref="A3"/>
      <selection pane="topRight" activeCell="A3" sqref="A3"/>
      <selection pane="bottomLeft" activeCell="A3" sqref="A3"/>
      <selection pane="bottomRight"/>
    </sheetView>
  </sheetViews>
  <sheetFormatPr defaultColWidth="9.1796875" defaultRowHeight="13" x14ac:dyDescent="0.3"/>
  <cols>
    <col min="1" max="1" width="17.7265625" style="48" bestFit="1" customWidth="1"/>
    <col min="2" max="2" width="9" style="48" customWidth="1"/>
    <col min="3" max="3" width="6" style="48" customWidth="1"/>
    <col min="4" max="15" width="7.1796875" style="48" customWidth="1"/>
    <col min="16" max="27" width="7.26953125" style="59" customWidth="1"/>
    <col min="28" max="29" width="6" style="59" customWidth="1"/>
    <col min="30" max="30" width="8.1796875" style="59" customWidth="1"/>
    <col min="31" max="31" width="11.26953125" style="78" customWidth="1"/>
    <col min="32" max="32" width="4" style="48" customWidth="1"/>
    <col min="33" max="44" width="6.54296875" style="48" hidden="1" customWidth="1"/>
    <col min="45" max="56" width="6.54296875" style="48" customWidth="1"/>
    <col min="57" max="16384" width="9.1796875" style="48"/>
  </cols>
  <sheetData>
    <row r="1" spans="1:58" ht="15.5" x14ac:dyDescent="0.35">
      <c r="A1" s="65"/>
      <c r="B1" s="79"/>
      <c r="C1" s="79"/>
      <c r="D1" s="269" t="s">
        <v>170</v>
      </c>
      <c r="E1" s="270"/>
      <c r="F1" s="270"/>
      <c r="G1" s="270"/>
      <c r="H1" s="270"/>
      <c r="I1" s="270"/>
      <c r="J1" s="270"/>
      <c r="K1" s="270"/>
      <c r="L1" s="270"/>
      <c r="M1" s="270"/>
      <c r="N1" s="270"/>
      <c r="O1" s="270"/>
      <c r="P1" s="270"/>
      <c r="Q1" s="270"/>
      <c r="R1" s="270"/>
      <c r="S1" s="270"/>
      <c r="T1" s="270"/>
      <c r="U1" s="270"/>
      <c r="V1" s="270"/>
      <c r="W1" s="270"/>
      <c r="X1" s="270"/>
      <c r="Y1" s="270"/>
      <c r="Z1" s="270"/>
      <c r="AA1" s="270"/>
      <c r="AB1" s="267" t="s">
        <v>172</v>
      </c>
      <c r="AC1" s="268"/>
      <c r="AD1" s="268"/>
      <c r="AE1" s="80" t="s">
        <v>177</v>
      </c>
      <c r="AF1" s="136"/>
      <c r="AG1" s="271" t="s">
        <v>178</v>
      </c>
      <c r="AH1" s="272"/>
      <c r="AI1" s="272"/>
      <c r="AJ1" s="272"/>
      <c r="AK1" s="272"/>
      <c r="AL1" s="272"/>
      <c r="AM1" s="272"/>
      <c r="AN1" s="272"/>
      <c r="AO1" s="272"/>
      <c r="AP1" s="272"/>
      <c r="AQ1" s="272"/>
      <c r="AR1" s="272"/>
      <c r="AS1" s="272"/>
      <c r="AT1" s="272"/>
      <c r="AU1" s="272"/>
      <c r="AV1" s="272"/>
      <c r="AW1" s="272"/>
      <c r="AX1" s="272"/>
      <c r="AY1" s="272"/>
      <c r="AZ1" s="272"/>
      <c r="BA1" s="272"/>
      <c r="BB1" s="272"/>
      <c r="BC1" s="272"/>
      <c r="BD1" s="272"/>
      <c r="BE1" s="272"/>
      <c r="BF1" s="273"/>
    </row>
    <row r="2" spans="1:58" s="54" customFormat="1" ht="35.25" customHeight="1" x14ac:dyDescent="0.25">
      <c r="A2" s="81" t="s">
        <v>0</v>
      </c>
      <c r="B2" s="82" t="s">
        <v>132</v>
      </c>
      <c r="C2" s="83" t="s">
        <v>136</v>
      </c>
      <c r="D2" s="50" t="str">
        <f>'LOCCS Import'!AA4</f>
        <v>Oct'24</v>
      </c>
      <c r="E2" s="53" t="str">
        <f>'LOCCS Import'!Z4</f>
        <v>Nov'24</v>
      </c>
      <c r="F2" s="53" t="str">
        <f>'LOCCS Import'!Y4</f>
        <v>Dec'24</v>
      </c>
      <c r="G2" s="53" t="str">
        <f>'LOCCS Import'!X4</f>
        <v>Jan'25</v>
      </c>
      <c r="H2" s="53" t="str">
        <f>'LOCCS Import'!W4</f>
        <v>Feb'25</v>
      </c>
      <c r="I2" s="53" t="str">
        <f>'LOCCS Import'!V4</f>
        <v>Mar'25</v>
      </c>
      <c r="J2" s="53" t="str">
        <f>'LOCCS Import'!U4</f>
        <v>Apr'25</v>
      </c>
      <c r="K2" s="53" t="str">
        <f>'LOCCS Import'!T4</f>
        <v>May'25</v>
      </c>
      <c r="L2" s="53" t="str">
        <f>'LOCCS Import'!S4</f>
        <v>Jun'25</v>
      </c>
      <c r="M2" s="53" t="str">
        <f>'LOCCS Import'!R4</f>
        <v>Jul'25</v>
      </c>
      <c r="N2" s="53" t="str">
        <f>'LOCCS Import'!Q4</f>
        <v>Aug'25</v>
      </c>
      <c r="O2" s="53" t="str">
        <f>'LOCCS Import'!P4</f>
        <v>Sep'25</v>
      </c>
      <c r="P2" s="75" t="str">
        <f>'LOCCS Import'!O4</f>
        <v>Oct'25</v>
      </c>
      <c r="Q2" s="53" t="str">
        <f>'LOCCS Import'!N4</f>
        <v>Nov'25</v>
      </c>
      <c r="R2" s="53" t="str">
        <f>'LOCCS Import'!M4</f>
        <v>Dec'25</v>
      </c>
      <c r="S2" s="53" t="str">
        <f>'LOCCS Import'!L4</f>
        <v>Jan'26</v>
      </c>
      <c r="T2" s="53" t="str">
        <f>'LOCCS Import'!K4</f>
        <v>Feb'26</v>
      </c>
      <c r="U2" s="53" t="str">
        <f>'LOCCS Import'!J4</f>
        <v>Mar'26</v>
      </c>
      <c r="V2" s="53" t="str">
        <f>'LOCCS Import'!I4</f>
        <v>Apr'26</v>
      </c>
      <c r="W2" s="53" t="str">
        <f>'LOCCS Import'!H4</f>
        <v>May'26</v>
      </c>
      <c r="X2" s="53" t="str">
        <f>'LOCCS Import'!G4</f>
        <v>Jun'26</v>
      </c>
      <c r="Y2" s="53" t="str">
        <f>'LOCCS Import'!F4</f>
        <v>Jul'26</v>
      </c>
      <c r="Z2" s="53" t="str">
        <f>'LOCCS Import'!E4</f>
        <v>Aug'26</v>
      </c>
      <c r="AA2" s="53" t="str">
        <f>'LOCCS Import'!F1</f>
        <v>Sep'26</v>
      </c>
      <c r="AB2" s="91" t="s">
        <v>173</v>
      </c>
      <c r="AC2" s="52" t="s">
        <v>174</v>
      </c>
      <c r="AD2" s="72" t="s">
        <v>175</v>
      </c>
      <c r="AE2" s="241" t="s">
        <v>238</v>
      </c>
      <c r="AF2" s="137"/>
      <c r="AG2" s="50" t="str">
        <f>'LOCCS Import'!AA4</f>
        <v>Oct'24</v>
      </c>
      <c r="AH2" s="53" t="str">
        <f>'LOCCS Import'!Z4</f>
        <v>Nov'24</v>
      </c>
      <c r="AI2" s="53" t="str">
        <f>'LOCCS Import'!Y4</f>
        <v>Dec'24</v>
      </c>
      <c r="AJ2" s="53" t="str">
        <f>'LOCCS Import'!X4</f>
        <v>Jan'25</v>
      </c>
      <c r="AK2" s="53" t="str">
        <f>'LOCCS Import'!W4</f>
        <v>Feb'25</v>
      </c>
      <c r="AL2" s="53" t="str">
        <f>'LOCCS Import'!V4</f>
        <v>Mar'25</v>
      </c>
      <c r="AM2" s="53" t="str">
        <f>'LOCCS Import'!U4</f>
        <v>Apr'25</v>
      </c>
      <c r="AN2" s="53" t="str">
        <f>'LOCCS Import'!T4</f>
        <v>May'25</v>
      </c>
      <c r="AO2" s="53" t="str">
        <f>'LOCCS Import'!S4</f>
        <v>Jun'25</v>
      </c>
      <c r="AP2" s="53" t="str">
        <f>'LOCCS Import'!R4</f>
        <v>Jul'25</v>
      </c>
      <c r="AQ2" s="53" t="str">
        <f>'LOCCS Import'!Q4</f>
        <v>Aug'25</v>
      </c>
      <c r="AR2" s="53" t="str">
        <f>'LOCCS Import'!P4</f>
        <v>Sep'25</v>
      </c>
      <c r="AS2" s="75" t="str">
        <f>'LOCCS Import'!O4</f>
        <v>Oct'25</v>
      </c>
      <c r="AT2" s="53" t="str">
        <f>'LOCCS Import'!N4</f>
        <v>Nov'25</v>
      </c>
      <c r="AU2" s="53" t="str">
        <f>'LOCCS Import'!M4</f>
        <v>Dec'25</v>
      </c>
      <c r="AV2" s="53" t="str">
        <f>'LOCCS Import'!L4</f>
        <v>Jan'26</v>
      </c>
      <c r="AW2" s="53" t="str">
        <f>'LOCCS Import'!K4</f>
        <v>Feb'26</v>
      </c>
      <c r="AX2" s="53" t="str">
        <f>'LOCCS Import'!J4</f>
        <v>Mar'26</v>
      </c>
      <c r="AY2" s="53" t="str">
        <f>'LOCCS Import'!I4</f>
        <v>Apr'26</v>
      </c>
      <c r="AZ2" s="53" t="str">
        <f>'LOCCS Import'!H4</f>
        <v>May'26</v>
      </c>
      <c r="BA2" s="53" t="str">
        <f>'LOCCS Import'!G4</f>
        <v>Jun'26</v>
      </c>
      <c r="BB2" s="53" t="str">
        <f>'LOCCS Import'!F4</f>
        <v>Jul'26</v>
      </c>
      <c r="BC2" s="53" t="str">
        <f>'LOCCS Import'!E4</f>
        <v>Aug'26</v>
      </c>
      <c r="BD2" s="51" t="str">
        <f>'LOCCS Import'!F1</f>
        <v>Sep'26</v>
      </c>
      <c r="BE2" s="116" t="s">
        <v>237</v>
      </c>
      <c r="BF2" s="114" t="s">
        <v>239</v>
      </c>
    </row>
    <row r="3" spans="1:58" x14ac:dyDescent="0.3">
      <c r="A3" s="65" t="s">
        <v>15</v>
      </c>
      <c r="B3" s="66" t="s">
        <v>72</v>
      </c>
      <c r="C3" s="66" t="s">
        <v>82</v>
      </c>
      <c r="D3" s="56">
        <f ca="1">VLOOKUP(A3,INDIRECT('LOCCS Import'!$AA$3&amp;"$A$3"):INDIRECT('LOCCS Import'!$AA$3&amp;"$O$54"),7,)</f>
        <v>1.82</v>
      </c>
      <c r="E3" s="56">
        <f ca="1">VLOOKUP(A3,INDIRECT('LOCCS Import'!$Z$3&amp;"$A$3"):INDIRECT('LOCCS Import'!$Z$3&amp;"$O$54"),7,)</f>
        <v>1.74</v>
      </c>
      <c r="F3" s="56">
        <f ca="1">VLOOKUP(A3,INDIRECT('LOCCS Import'!$Y$3&amp;"$A$3"):INDIRECT('LOCCS Import'!$Y$3&amp;"$O$54"),7,)</f>
        <v>1.66</v>
      </c>
      <c r="G3" s="56">
        <f ca="1">VLOOKUP(A3,INDIRECT('LOCCS Import'!$X$3&amp;"$A$3"):INDIRECT('LOCCS Import'!$X$3&amp;"$O$54"),7,)</f>
        <v>2.62</v>
      </c>
      <c r="H3" s="56">
        <f ca="1">VLOOKUP(A3,INDIRECT('LOCCS Import'!$W$3&amp;"$A$3"):INDIRECT('LOCCS Import'!$W$3&amp;"$O$54"),7,)</f>
        <v>2.5299999999999998</v>
      </c>
      <c r="I3" s="56">
        <f ca="1">VLOOKUP(A3,INDIRECT('LOCCS Import'!$V$3&amp;"$A$3"):INDIRECT('LOCCS Import'!$V$3&amp;"$O$54"),7,)</f>
        <v>2.4700000000000002</v>
      </c>
      <c r="J3" s="56">
        <f ca="1">VLOOKUP(A3,INDIRECT('LOCCS Import'!$U$3&amp;"$A$3"):INDIRECT('LOCCS Import'!$U$3&amp;"$O$54"),7,)</f>
        <v>2.4700000000000002</v>
      </c>
      <c r="K3" s="56">
        <f ca="1">VLOOKUP(A3,INDIRECT('LOCCS Import'!$T$3&amp;"$A$3"):INDIRECT('LOCCS Import'!$T$3&amp;"$O$54"),7,)</f>
        <v>2.2599999999999998</v>
      </c>
      <c r="L3" s="56">
        <f ca="1">VLOOKUP(A3,INDIRECT('LOCCS Import'!$S$3&amp;"$A$3"):INDIRECT('LOCCS Import'!$S$3&amp;"$O$54"),7,)</f>
        <v>2.19</v>
      </c>
      <c r="M3" s="56">
        <f ca="1">VLOOKUP(A3,INDIRECT('LOCCS Import'!$R$3&amp;"$A$3"):INDIRECT('LOCCS Import'!$R$3&amp;"$O$54"),7,)</f>
        <v>2.13</v>
      </c>
      <c r="N3" s="56">
        <f ca="1">VLOOKUP(A3,INDIRECT('LOCCS Import'!$Q$3&amp;"$A$3"):INDIRECT('LOCCS Import'!$Q$3&amp;"$O$54"),7,)</f>
        <v>2.02</v>
      </c>
      <c r="O3" s="56">
        <f ca="1">VLOOKUP(A3,INDIRECT('LOCCS Import'!$P$3&amp;"$A$3"):INDIRECT('LOCCS Import'!$P$3&amp;"$O$54"),7,)</f>
        <v>2.0099999999999998</v>
      </c>
      <c r="P3" s="60">
        <f ca="1">VLOOKUP(A3,INDIRECT('LOCCS Import'!$O$3&amp;"$A$3"):INDIRECT('LOCCS Import'!$O$3&amp;"$O$54"),7,)</f>
        <v>1.9</v>
      </c>
      <c r="Q3" s="56">
        <f ca="1">VLOOKUP(A3,INDIRECT('LOCCS Import'!$N$3&amp;"$A$3"):INDIRECT('LOCCS Import'!$N$3&amp;"$O$54"),7,)</f>
        <v>1.79</v>
      </c>
      <c r="R3" s="56">
        <f ca="1">VLOOKUP(A3,INDIRECT('LOCCS Import'!$M$3&amp;"$A$3"):INDIRECT('LOCCS Import'!$M$3&amp;"$O$54"),7,)</f>
        <v>2.72</v>
      </c>
      <c r="S3" s="56">
        <f ca="1">VLOOKUP(A3,INDIRECT('LOCCS Import'!$L$3&amp;"$A$3"):INDIRECT('LOCCS Import'!$L$3&amp;"$O$54"),7,)</f>
        <v>2.65</v>
      </c>
      <c r="T3" s="56">
        <f ca="1">VLOOKUP(A3,INDIRECT('LOCCS Import'!$K$3&amp;"$A$3"):INDIRECT('LOCCS Import'!$K$3&amp;"$O$54"),7,)</f>
        <v>2.61</v>
      </c>
      <c r="U3" s="56">
        <f ca="1">VLOOKUP(A3,INDIRECT('LOCCS Import'!$J$3&amp;"$A$3"):INDIRECT('LOCCS Import'!$J$3&amp;"$O$54"),7,)</f>
        <v>2.52</v>
      </c>
      <c r="V3" s="56">
        <f ca="1">VLOOKUP(A3,INDIRECT('LOCCS Import'!$I$3&amp;"$A$3"):INDIRECT('LOCCS Import'!$I$3&amp;"$O$54"),7,)</f>
        <v>2.4500000000000002</v>
      </c>
      <c r="W3" s="56">
        <f ca="1">VLOOKUP(A3,INDIRECT('LOCCS Import'!$H$3&amp;"$A$3"):INDIRECT('LOCCS Import'!$H$3&amp;"$O$54"),7,)</f>
        <v>2.35</v>
      </c>
      <c r="X3" s="56">
        <f ca="1">VLOOKUP(A3,INDIRECT('LOCCS Import'!$G$3&amp;"$A$3"):INDIRECT('LOCCS Import'!$G$3&amp;"$O$54"),7,)</f>
        <v>2.31</v>
      </c>
      <c r="Y3" s="56">
        <f ca="1">VLOOKUP(A3,INDIRECT('LOCCS Import'!$F$3&amp;"$A$3"):INDIRECT('LOCCS Import'!$F$3&amp;"$O$54"),7,)</f>
        <v>2.23</v>
      </c>
      <c r="Z3" s="56">
        <f ca="1">VLOOKUP(A3,INDIRECT('LOCCS Import'!$E$3&amp;"$A$3"):INDIRECT('LOCCS Import'!$E$3&amp;"$O$54"),7,)</f>
        <v>2.15</v>
      </c>
      <c r="AA3" s="56">
        <f>VLOOKUP(A3,template!$A$3:$P$54,7,)</f>
        <v>2.13</v>
      </c>
      <c r="AB3" s="55">
        <f t="shared" ref="AB3:AB34" ca="1" si="0">MAX(P3:AA3)</f>
        <v>2.72</v>
      </c>
      <c r="AC3" s="56">
        <f t="shared" ref="AC3:AC34" ca="1" si="1">MIN(P3:AA3)</f>
        <v>1.79</v>
      </c>
      <c r="AD3" s="57">
        <f t="shared" ref="AD3:AD34" ca="1" si="2">AVERAGE(P3:AA3)</f>
        <v>2.3174999999999999</v>
      </c>
      <c r="AE3" s="84">
        <f t="shared" ref="AE3:AE34" ca="1" si="3">RANK(AD3,AD$3:AD$52,1)</f>
        <v>12</v>
      </c>
      <c r="AF3" s="138"/>
      <c r="AG3" s="3">
        <f ca="1">VLOOKUP(A3,INDIRECT('LOCCS Import'!$AA$3&amp;"$A$3"):INDIRECT('LOCCS Import'!$AA$3&amp;"$O$54"),8,)</f>
        <v>1</v>
      </c>
      <c r="AH3" s="1">
        <f ca="1">VLOOKUP(A3,INDIRECT('LOCCS Import'!$Z$3&amp;"$A$3"):INDIRECT('LOCCS Import'!$Z$3&amp;"$O$54"),8,)</f>
        <v>0.97</v>
      </c>
      <c r="AI3" s="1">
        <f ca="1">VLOOKUP(A3,INDIRECT('LOCCS Import'!$Y$3&amp;"$A$3"):INDIRECT('LOCCS Import'!$Y$3&amp;"$O$54"),8,)</f>
        <v>0.92</v>
      </c>
      <c r="AJ3" s="1">
        <f ca="1">VLOOKUP(A3,INDIRECT('LOCCS Import'!$X$3&amp;"$A$3"):INDIRECT('LOCCS Import'!$X$3&amp;"$O$54"),8,)</f>
        <v>0.91</v>
      </c>
      <c r="AK3" s="1">
        <f ca="1">VLOOKUP(A3,INDIRECT('LOCCS Import'!$W$3&amp;"$A$3"):INDIRECT('LOCCS Import'!$W$3&amp;"$O$54"),8,)</f>
        <v>0.92</v>
      </c>
      <c r="AL3" s="1">
        <f ca="1">VLOOKUP(A3,INDIRECT('LOCCS Import'!$V$3&amp;"$A$3"):INDIRECT('LOCCS Import'!$V$3&amp;"$O$54"),8,)</f>
        <v>0.91</v>
      </c>
      <c r="AM3" s="1">
        <f ca="1">VLOOKUP(A3,INDIRECT('LOCCS Import'!$U$3&amp;"$A$3"):INDIRECT('LOCCS Import'!$U$3&amp;"$O$54"),8,)</f>
        <v>0.91</v>
      </c>
      <c r="AN3" s="1">
        <f ca="1">VLOOKUP(A3,INDIRECT('LOCCS Import'!$T$3&amp;"$A$3"):INDIRECT('LOCCS Import'!$T$3&amp;"$O$54"),8,)</f>
        <v>0.96</v>
      </c>
      <c r="AO3" s="1">
        <f ca="1">VLOOKUP(A3,INDIRECT('LOCCS Import'!$S$3&amp;"$A$3"):INDIRECT('LOCCS Import'!$S$3&amp;"$O$54"),8,)</f>
        <v>0.99</v>
      </c>
      <c r="AP3" s="1">
        <f ca="1">VLOOKUP(A3,INDIRECT('LOCCS Import'!$R$3&amp;"$A$3"):INDIRECT('LOCCS Import'!$R$3&amp;"$O$54"),8,)</f>
        <v>1</v>
      </c>
      <c r="AQ3" s="1">
        <f ca="1">VLOOKUP(A3,INDIRECT('LOCCS Import'!$Q$3&amp;"$A$3"):INDIRECT('LOCCS Import'!$Q$3&amp;"$O$54"),8,)</f>
        <v>0.97</v>
      </c>
      <c r="AR3" s="1">
        <f ca="1">VLOOKUP(A3,INDIRECT('LOCCS Import'!$P$3&amp;"$A$3"):INDIRECT('LOCCS Import'!$P$3&amp;"$O$54"),8,)</f>
        <v>0.97</v>
      </c>
      <c r="AS3" s="1">
        <f ca="1">VLOOKUP(A3,INDIRECT('LOCCS Import'!$O$3&amp;"$A$3"):INDIRECT('LOCCS Import'!$O$3&amp;"$O$54"),8,)</f>
        <v>0.95</v>
      </c>
      <c r="AT3" s="1">
        <f ca="1">VLOOKUP(A3,INDIRECT('LOCCS Import'!$N$3&amp;"$A$3"):INDIRECT('LOCCS Import'!$N$3&amp;"$O$54"),8,)</f>
        <v>0.98</v>
      </c>
      <c r="AU3" s="1">
        <f ca="1">VLOOKUP(A3,INDIRECT('LOCCS Import'!$M$3&amp;"$A$3"):INDIRECT('LOCCS Import'!$M$3&amp;"$O$54"),8,)</f>
        <v>0.95</v>
      </c>
      <c r="AV3" s="1">
        <f ca="1">VLOOKUP(A3,INDIRECT('LOCCS Import'!$L$3&amp;"$A$3"):INDIRECT('LOCCS Import'!$L$3&amp;"$O$54"),8,)</f>
        <v>0.95</v>
      </c>
      <c r="AW3" s="1">
        <f ca="1">VLOOKUP(A3,INDIRECT('LOCCS Import'!$K$3&amp;"$A$3"):INDIRECT('LOCCS Import'!$K$3&amp;"$O$54"),8,)</f>
        <v>0.9</v>
      </c>
      <c r="AX3" s="1">
        <f ca="1">VLOOKUP(A3,INDIRECT('LOCCS Import'!$J$3&amp;"$A$3"):INDIRECT('LOCCS Import'!$J$3&amp;"$O$54"),8,)</f>
        <v>0.92</v>
      </c>
      <c r="AY3" s="1">
        <f ca="1">VLOOKUP(A3,INDIRECT('LOCCS Import'!$I$3&amp;"$A$3"):INDIRECT('LOCCS Import'!$I$3&amp;"$O$54"),8,)</f>
        <v>0.85</v>
      </c>
      <c r="AZ3" s="1">
        <f ca="1">VLOOKUP(A3,INDIRECT('LOCCS Import'!$H$3&amp;"$A$3"):INDIRECT('LOCCS Import'!$H$3&amp;"$O$54"),8,)</f>
        <v>0.9</v>
      </c>
      <c r="BA3" s="1">
        <f ca="1">VLOOKUP(A3,INDIRECT('LOCCS Import'!$G$3&amp;"$A$3"):INDIRECT('LOCCS Import'!$G$3&amp;"$O$54"),8,)</f>
        <v>0.86</v>
      </c>
      <c r="BB3" s="1">
        <f ca="1">VLOOKUP(A3,INDIRECT('LOCCS Import'!$F$3&amp;"$A$3"):INDIRECT('LOCCS Import'!$F$3&amp;"$O$54"),8,)</f>
        <v>0.88</v>
      </c>
      <c r="BC3" s="1">
        <f ca="1">VLOOKUP(A3,INDIRECT('LOCCS Import'!$E$3&amp;"$A$3"):INDIRECT('LOCCS Import'!$E$3&amp;"$O$54"),8,)</f>
        <v>0.86</v>
      </c>
      <c r="BD3" s="2">
        <f>VLOOKUP(A3,template!$A$3:$P$54,8,)</f>
        <v>0.87</v>
      </c>
      <c r="BE3" s="2">
        <f t="shared" ref="BE3:BE34" ca="1" si="4">AVERAGE(AS3:BD3)</f>
        <v>0.90583333333333327</v>
      </c>
      <c r="BF3" s="115">
        <f ca="1">RANK(BE3,$BE$3:$BE$52)</f>
        <v>24</v>
      </c>
    </row>
    <row r="4" spans="1:58" x14ac:dyDescent="0.3">
      <c r="A4" s="67" t="s">
        <v>16</v>
      </c>
      <c r="B4" s="64" t="s">
        <v>73</v>
      </c>
      <c r="C4" s="64" t="s">
        <v>83</v>
      </c>
      <c r="D4" s="60">
        <f ca="1">VLOOKUP(A4,INDIRECT('LOCCS Import'!$AA$3&amp;"$A$3"):INDIRECT('LOCCS Import'!$AA$3&amp;"$O$54"),7,)</f>
        <v>3.71</v>
      </c>
      <c r="E4" s="60">
        <f ca="1">VLOOKUP(A4,INDIRECT('LOCCS Import'!$Z$3&amp;"$A$3"):INDIRECT('LOCCS Import'!$Z$3&amp;"$O$54"),7,)</f>
        <v>3.58</v>
      </c>
      <c r="F4" s="60">
        <f ca="1">VLOOKUP(A4,INDIRECT('LOCCS Import'!$Y$3&amp;"$A$3"):INDIRECT('LOCCS Import'!$Y$3&amp;"$O$54"),7,)</f>
        <v>3.48</v>
      </c>
      <c r="G4" s="60">
        <f ca="1">VLOOKUP(A4,INDIRECT('LOCCS Import'!$X$3&amp;"$A$3"):INDIRECT('LOCCS Import'!$X$3&amp;"$O$54"),7,)</f>
        <v>3.46</v>
      </c>
      <c r="H4" s="60">
        <f ca="1">VLOOKUP(A4,INDIRECT('LOCCS Import'!$W$3&amp;"$A$3"):INDIRECT('LOCCS Import'!$W$3&amp;"$O$54"),7,)</f>
        <v>3.43</v>
      </c>
      <c r="I4" s="60">
        <f ca="1">VLOOKUP(A4,INDIRECT('LOCCS Import'!$V$3&amp;"$A$3"):INDIRECT('LOCCS Import'!$V$3&amp;"$O$54"),7,)</f>
        <v>3.39</v>
      </c>
      <c r="J4" s="60">
        <f ca="1">VLOOKUP(A4,INDIRECT('LOCCS Import'!$U$3&amp;"$A$3"):INDIRECT('LOCCS Import'!$U$3&amp;"$O$54"),7,)</f>
        <v>3.39</v>
      </c>
      <c r="K4" s="60">
        <f ca="1">VLOOKUP(A4,INDIRECT('LOCCS Import'!$T$3&amp;"$A$3"):INDIRECT('LOCCS Import'!$T$3&amp;"$O$54"),7,)</f>
        <v>3.28</v>
      </c>
      <c r="L4" s="60">
        <f ca="1">VLOOKUP(A4,INDIRECT('LOCCS Import'!$S$3&amp;"$A$3"):INDIRECT('LOCCS Import'!$S$3&amp;"$O$54"),7,)</f>
        <v>3.28</v>
      </c>
      <c r="M4" s="60">
        <f ca="1">VLOOKUP(A4,INDIRECT('LOCCS Import'!$R$3&amp;"$A$3"):INDIRECT('LOCCS Import'!$R$3&amp;"$O$54"),7,)</f>
        <v>3.27</v>
      </c>
      <c r="N4" s="60">
        <f ca="1">VLOOKUP(A4,INDIRECT('LOCCS Import'!$Q$3&amp;"$A$3"):INDIRECT('LOCCS Import'!$Q$3&amp;"$O$54"),7,)</f>
        <v>3.27</v>
      </c>
      <c r="O4" s="60">
        <f ca="1">VLOOKUP(A4,INDIRECT('LOCCS Import'!$P$3&amp;"$A$3"):INDIRECT('LOCCS Import'!$P$3&amp;"$O$54"),7,)</f>
        <v>4.28</v>
      </c>
      <c r="P4" s="60">
        <f ca="1">VLOOKUP(A4,INDIRECT('LOCCS Import'!$O$3&amp;"$A$3"):INDIRECT('LOCCS Import'!$O$3&amp;"$O$54"),7,)</f>
        <v>4.26</v>
      </c>
      <c r="Q4" s="60">
        <f ca="1">VLOOKUP(A4,INDIRECT('LOCCS Import'!$N$3&amp;"$A$3"):INDIRECT('LOCCS Import'!$N$3&amp;"$O$54"),7,)</f>
        <v>4.26</v>
      </c>
      <c r="R4" s="60">
        <f ca="1">VLOOKUP(A4,INDIRECT('LOCCS Import'!$M$3&amp;"$A$3"):INDIRECT('LOCCS Import'!$M$3&amp;"$O$54"),7,)</f>
        <v>4.0999999999999996</v>
      </c>
      <c r="S4" s="60">
        <f ca="1">VLOOKUP(A4,INDIRECT('LOCCS Import'!$L$3&amp;"$A$3"):INDIRECT('LOCCS Import'!$L$3&amp;"$O$54"),7,)</f>
        <v>3.75</v>
      </c>
      <c r="T4" s="60">
        <f ca="1">VLOOKUP(A4,INDIRECT('LOCCS Import'!$K$3&amp;"$A$3"):INDIRECT('LOCCS Import'!$K$3&amp;"$O$54"),7,)</f>
        <v>3.73</v>
      </c>
      <c r="U4" s="60">
        <f ca="1">VLOOKUP(A4,INDIRECT('LOCCS Import'!$J$3&amp;"$A$3"):INDIRECT('LOCCS Import'!$J$3&amp;"$O$54"),7,)</f>
        <v>3.68</v>
      </c>
      <c r="V4" s="60">
        <f ca="1">VLOOKUP(A4,INDIRECT('LOCCS Import'!$I$3&amp;"$A$3"):INDIRECT('LOCCS Import'!$I$3&amp;"$O$54"),7,)</f>
        <v>3.67</v>
      </c>
      <c r="W4" s="60">
        <f ca="1">VLOOKUP(A4,INDIRECT('LOCCS Import'!$H$3&amp;"$A$3"):INDIRECT('LOCCS Import'!$H$3&amp;"$O$54"),7,)</f>
        <v>3.61</v>
      </c>
      <c r="X4" s="60">
        <f ca="1">VLOOKUP(A4,INDIRECT('LOCCS Import'!$G$3&amp;"$A$3"):INDIRECT('LOCCS Import'!$G$3&amp;"$O$54"),7,)</f>
        <v>3.6</v>
      </c>
      <c r="Y4" s="60">
        <f ca="1">VLOOKUP(A4,INDIRECT('LOCCS Import'!$F$3&amp;"$A$3"):INDIRECT('LOCCS Import'!$F$3&amp;"$O$54"),7,)</f>
        <v>3.53</v>
      </c>
      <c r="Z4" s="60">
        <f ca="1">VLOOKUP(A4,INDIRECT('LOCCS Import'!$E$3&amp;"$A$3"):INDIRECT('LOCCS Import'!$E$3&amp;"$O$54"),7,)</f>
        <v>3.51</v>
      </c>
      <c r="AA4" s="60">
        <f>VLOOKUP(A4,template!$A$3:$P$54,7,)</f>
        <v>4.54</v>
      </c>
      <c r="AB4" s="58">
        <f t="shared" ca="1" si="0"/>
        <v>4.54</v>
      </c>
      <c r="AC4" s="60">
        <f t="shared" ca="1" si="1"/>
        <v>3.51</v>
      </c>
      <c r="AD4" s="61">
        <f t="shared" ca="1" si="2"/>
        <v>3.8533333333333331</v>
      </c>
      <c r="AE4" s="84">
        <f t="shared" ca="1" si="3"/>
        <v>39</v>
      </c>
      <c r="AF4" s="138"/>
      <c r="AG4" s="3">
        <f ca="1">VLOOKUP(A4,INDIRECT('LOCCS Import'!$AA$3&amp;"$A$3"):INDIRECT('LOCCS Import'!$AA$3&amp;"$O$54"),8,)</f>
        <v>0.81</v>
      </c>
      <c r="AH4" s="1">
        <f ca="1">VLOOKUP(A4,INDIRECT('LOCCS Import'!$Z$3&amp;"$A$3"):INDIRECT('LOCCS Import'!$Z$3&amp;"$O$54"),8,)</f>
        <v>0.94</v>
      </c>
      <c r="AI4" s="1">
        <f ca="1">VLOOKUP(A4,INDIRECT('LOCCS Import'!$Y$3&amp;"$A$3"):INDIRECT('LOCCS Import'!$Y$3&amp;"$O$54"),8,)</f>
        <v>1.02</v>
      </c>
      <c r="AJ4" s="1">
        <f ca="1">VLOOKUP(A4,INDIRECT('LOCCS Import'!$X$3&amp;"$A$3"):INDIRECT('LOCCS Import'!$X$3&amp;"$O$54"),8,)</f>
        <v>0.82</v>
      </c>
      <c r="AK4" s="1">
        <f ca="1">VLOOKUP(A4,INDIRECT('LOCCS Import'!$W$3&amp;"$A$3"):INDIRECT('LOCCS Import'!$W$3&amp;"$O$54"),8,)</f>
        <v>0.86</v>
      </c>
      <c r="AL4" s="1">
        <f ca="1">VLOOKUP(A4,INDIRECT('LOCCS Import'!$V$3&amp;"$A$3"):INDIRECT('LOCCS Import'!$V$3&amp;"$O$54"),8,)</f>
        <v>0.6</v>
      </c>
      <c r="AM4" s="1">
        <f ca="1">VLOOKUP(A4,INDIRECT('LOCCS Import'!$U$3&amp;"$A$3"):INDIRECT('LOCCS Import'!$U$3&amp;"$O$54"),8,)</f>
        <v>0.6</v>
      </c>
      <c r="AN4" s="1">
        <f ca="1">VLOOKUP(A4,INDIRECT('LOCCS Import'!$T$3&amp;"$A$3"):INDIRECT('LOCCS Import'!$T$3&amp;"$O$54"),8,)</f>
        <v>0.61</v>
      </c>
      <c r="AO4" s="1">
        <f ca="1">VLOOKUP(A4,INDIRECT('LOCCS Import'!$S$3&amp;"$A$3"):INDIRECT('LOCCS Import'!$S$3&amp;"$O$54"),8,)</f>
        <v>0.54</v>
      </c>
      <c r="AP4" s="1">
        <f ca="1">VLOOKUP(A4,INDIRECT('LOCCS Import'!$R$3&amp;"$A$3"):INDIRECT('LOCCS Import'!$R$3&amp;"$O$54"),8,)</f>
        <v>0.43</v>
      </c>
      <c r="AQ4" s="1">
        <f ca="1">VLOOKUP(A4,INDIRECT('LOCCS Import'!$Q$3&amp;"$A$3"):INDIRECT('LOCCS Import'!$Q$3&amp;"$O$54"),8,)</f>
        <v>0.43</v>
      </c>
      <c r="AR4" s="1">
        <f ca="1">VLOOKUP(A4,INDIRECT('LOCCS Import'!$P$3&amp;"$A$3"):INDIRECT('LOCCS Import'!$P$3&amp;"$O$54"),8,)</f>
        <v>0.53</v>
      </c>
      <c r="AS4" s="1">
        <f ca="1">VLOOKUP(A4,INDIRECT('LOCCS Import'!$O$3&amp;"$A$3"):INDIRECT('LOCCS Import'!$O$3&amp;"$O$54"),8,)</f>
        <v>0.54</v>
      </c>
      <c r="AT4" s="1">
        <f ca="1">VLOOKUP(A4,INDIRECT('LOCCS Import'!$N$3&amp;"$A$3"):INDIRECT('LOCCS Import'!$N$3&amp;"$O$54"),8,)</f>
        <v>0.42</v>
      </c>
      <c r="AU4" s="1">
        <f ca="1">VLOOKUP(A4,INDIRECT('LOCCS Import'!$M$3&amp;"$A$3"):INDIRECT('LOCCS Import'!$M$3&amp;"$O$54"),8,)</f>
        <v>0.48</v>
      </c>
      <c r="AV4" s="1">
        <f ca="1">VLOOKUP(A4,INDIRECT('LOCCS Import'!$L$3&amp;"$A$3"):INDIRECT('LOCCS Import'!$L$3&amp;"$O$54"),8,)</f>
        <v>0.81</v>
      </c>
      <c r="AW4" s="1">
        <f ca="1">VLOOKUP(A4,INDIRECT('LOCCS Import'!$K$3&amp;"$A$3"):INDIRECT('LOCCS Import'!$K$3&amp;"$O$54"),8,)</f>
        <v>0.8</v>
      </c>
      <c r="AX4" s="1">
        <f ca="1">VLOOKUP(A4,INDIRECT('LOCCS Import'!$J$3&amp;"$A$3"):INDIRECT('LOCCS Import'!$J$3&amp;"$O$54"),8,)</f>
        <v>0.81</v>
      </c>
      <c r="AY4" s="1">
        <f ca="1">VLOOKUP(A4,INDIRECT('LOCCS Import'!$I$3&amp;"$A$3"):INDIRECT('LOCCS Import'!$I$3&amp;"$O$54"),8,)</f>
        <v>0.72</v>
      </c>
      <c r="AZ4" s="1">
        <f ca="1">VLOOKUP(A4,INDIRECT('LOCCS Import'!$H$3&amp;"$A$3"):INDIRECT('LOCCS Import'!$H$3&amp;"$O$54"),8,)</f>
        <v>0.77</v>
      </c>
      <c r="BA4" s="1">
        <f ca="1">VLOOKUP(A4,INDIRECT('LOCCS Import'!$G$3&amp;"$A$3"):INDIRECT('LOCCS Import'!$G$3&amp;"$O$54"),8,)</f>
        <v>0.77</v>
      </c>
      <c r="BB4" s="1">
        <f ca="1">VLOOKUP(A4,INDIRECT('LOCCS Import'!$F$3&amp;"$A$3"):INDIRECT('LOCCS Import'!$F$3&amp;"$O$54"),8,)</f>
        <v>0.85</v>
      </c>
      <c r="BC4" s="1">
        <f ca="1">VLOOKUP(A4,INDIRECT('LOCCS Import'!$E$3&amp;"$A$3"):INDIRECT('LOCCS Import'!$E$3&amp;"$O$54"),8,)</f>
        <v>0.77</v>
      </c>
      <c r="BD4" s="2">
        <f>VLOOKUP(A4,template!$A$3:$P$54,8,)</f>
        <v>0.89</v>
      </c>
      <c r="BE4" s="2">
        <f t="shared" ca="1" si="4"/>
        <v>0.71916666666666662</v>
      </c>
      <c r="BF4" s="115">
        <f t="shared" ref="BF4:BF52" ca="1" si="5">RANK(BE4,$BE$3:$BE$52)</f>
        <v>47</v>
      </c>
    </row>
    <row r="5" spans="1:58" x14ac:dyDescent="0.3">
      <c r="A5" s="67" t="s">
        <v>17</v>
      </c>
      <c r="B5" s="64" t="s">
        <v>73</v>
      </c>
      <c r="C5" s="64" t="s">
        <v>84</v>
      </c>
      <c r="D5" s="60">
        <f ca="1">VLOOKUP(A5,INDIRECT('LOCCS Import'!$AA$3&amp;"$A$3"):INDIRECT('LOCCS Import'!$AA$3&amp;"$O$54"),7,)</f>
        <v>1.37</v>
      </c>
      <c r="E5" s="60">
        <f ca="1">VLOOKUP(A5,INDIRECT('LOCCS Import'!$Z$3&amp;"$A$3"):INDIRECT('LOCCS Import'!$Z$3&amp;"$O$54"),7,)</f>
        <v>2.23</v>
      </c>
      <c r="F5" s="60">
        <f ca="1">VLOOKUP(A5,INDIRECT('LOCCS Import'!$Y$3&amp;"$A$3"):INDIRECT('LOCCS Import'!$Y$3&amp;"$O$54"),7,)</f>
        <v>2.16</v>
      </c>
      <c r="G5" s="60">
        <f ca="1">VLOOKUP(A5,INDIRECT('LOCCS Import'!$X$3&amp;"$A$3"):INDIRECT('LOCCS Import'!$X$3&amp;"$O$54"),7,)</f>
        <v>2.12</v>
      </c>
      <c r="H5" s="60">
        <f ca="1">VLOOKUP(A5,INDIRECT('LOCCS Import'!$W$3&amp;"$A$3"):INDIRECT('LOCCS Import'!$W$3&amp;"$O$54"),7,)</f>
        <v>1.96</v>
      </c>
      <c r="I5" s="60">
        <f ca="1">VLOOKUP(A5,INDIRECT('LOCCS Import'!$V$3&amp;"$A$3"):INDIRECT('LOCCS Import'!$V$3&amp;"$O$54"),7,)</f>
        <v>1.89</v>
      </c>
      <c r="J5" s="60">
        <f ca="1">VLOOKUP(A5,INDIRECT('LOCCS Import'!$U$3&amp;"$A$3"):INDIRECT('LOCCS Import'!$U$3&amp;"$O$54"),7,)</f>
        <v>1.89</v>
      </c>
      <c r="K5" s="60">
        <f ca="1">VLOOKUP(A5,INDIRECT('LOCCS Import'!$T$3&amp;"$A$3"):INDIRECT('LOCCS Import'!$T$3&amp;"$O$54"),7,)</f>
        <v>1.66</v>
      </c>
      <c r="L5" s="60">
        <f ca="1">VLOOKUP(A5,INDIRECT('LOCCS Import'!$S$3&amp;"$A$3"):INDIRECT('LOCCS Import'!$S$3&amp;"$O$54"),7,)</f>
        <v>1.63</v>
      </c>
      <c r="M5" s="60">
        <f ca="1">VLOOKUP(A5,INDIRECT('LOCCS Import'!$R$3&amp;"$A$3"):INDIRECT('LOCCS Import'!$R$3&amp;"$O$54"),7,)</f>
        <v>1.47</v>
      </c>
      <c r="N5" s="60">
        <f ca="1">VLOOKUP(A5,INDIRECT('LOCCS Import'!$Q$3&amp;"$A$3"):INDIRECT('LOCCS Import'!$Q$3&amp;"$O$54"),7,)</f>
        <v>1.37</v>
      </c>
      <c r="O5" s="60">
        <f ca="1">VLOOKUP(A5,INDIRECT('LOCCS Import'!$P$3&amp;"$A$3"):INDIRECT('LOCCS Import'!$P$3&amp;"$O$54"),7,)</f>
        <v>2.34</v>
      </c>
      <c r="P5" s="60">
        <f ca="1">VLOOKUP(A5,INDIRECT('LOCCS Import'!$O$3&amp;"$A$3"):INDIRECT('LOCCS Import'!$O$3&amp;"$O$54"),7,)</f>
        <v>2.27</v>
      </c>
      <c r="Q5" s="60">
        <f ca="1">VLOOKUP(A5,INDIRECT('LOCCS Import'!$N$3&amp;"$A$3"):INDIRECT('LOCCS Import'!$N$3&amp;"$O$54"),7,)</f>
        <v>2.19</v>
      </c>
      <c r="R5" s="60">
        <f ca="1">VLOOKUP(A5,INDIRECT('LOCCS Import'!$M$3&amp;"$A$3"):INDIRECT('LOCCS Import'!$M$3&amp;"$O$54"),7,)</f>
        <v>2.09</v>
      </c>
      <c r="S5" s="60">
        <f ca="1">VLOOKUP(A5,INDIRECT('LOCCS Import'!$L$3&amp;"$A$3"):INDIRECT('LOCCS Import'!$L$3&amp;"$O$54"),7,)</f>
        <v>2.02</v>
      </c>
      <c r="T5" s="60">
        <f ca="1">VLOOKUP(A5,INDIRECT('LOCCS Import'!$K$3&amp;"$A$3"):INDIRECT('LOCCS Import'!$K$3&amp;"$O$54"),7,)</f>
        <v>1.93</v>
      </c>
      <c r="U5" s="60">
        <f ca="1">VLOOKUP(A5,INDIRECT('LOCCS Import'!$J$3&amp;"$A$3"):INDIRECT('LOCCS Import'!$J$3&amp;"$O$54"),7,)</f>
        <v>1.81</v>
      </c>
      <c r="V5" s="60">
        <f ca="1">VLOOKUP(A5,INDIRECT('LOCCS Import'!$I$3&amp;"$A$3"):INDIRECT('LOCCS Import'!$I$3&amp;"$O$54"),7,)</f>
        <v>1.72</v>
      </c>
      <c r="W5" s="60">
        <f ca="1">VLOOKUP(A5,INDIRECT('LOCCS Import'!$H$3&amp;"$A$3"):INDIRECT('LOCCS Import'!$H$3&amp;"$O$54"),7,)</f>
        <v>1.68</v>
      </c>
      <c r="X5" s="60">
        <f ca="1">VLOOKUP(A5,INDIRECT('LOCCS Import'!$G$3&amp;"$A$3"):INDIRECT('LOCCS Import'!$G$3&amp;"$O$54"),7,)</f>
        <v>1.54</v>
      </c>
      <c r="Y5" s="60">
        <f ca="1">VLOOKUP(A5,INDIRECT('LOCCS Import'!$F$3&amp;"$A$3"):INDIRECT('LOCCS Import'!$F$3&amp;"$O$54"),7,)</f>
        <v>1.49</v>
      </c>
      <c r="Z5" s="60">
        <f ca="1">VLOOKUP(A5,INDIRECT('LOCCS Import'!$E$3&amp;"$A$3"):INDIRECT('LOCCS Import'!$E$3&amp;"$O$54"),7,)</f>
        <v>1.44</v>
      </c>
      <c r="AA5" s="60">
        <f>VLOOKUP(A5,template!$A$3:$P$54,7,)</f>
        <v>2.33</v>
      </c>
      <c r="AB5" s="58">
        <f t="shared" ca="1" si="0"/>
        <v>2.33</v>
      </c>
      <c r="AC5" s="60">
        <f t="shared" ca="1" si="1"/>
        <v>1.44</v>
      </c>
      <c r="AD5" s="61">
        <f t="shared" ca="1" si="2"/>
        <v>1.8758333333333332</v>
      </c>
      <c r="AE5" s="84">
        <f t="shared" ca="1" si="3"/>
        <v>4</v>
      </c>
      <c r="AF5" s="138"/>
      <c r="AG5" s="3">
        <f ca="1">VLOOKUP(A5,INDIRECT('LOCCS Import'!$AA$3&amp;"$A$3"):INDIRECT('LOCCS Import'!$AA$3&amp;"$O$54"),8,)</f>
        <v>0.98</v>
      </c>
      <c r="AH5" s="1">
        <f ca="1">VLOOKUP(A5,INDIRECT('LOCCS Import'!$Z$3&amp;"$A$3"):INDIRECT('LOCCS Import'!$Z$3&amp;"$O$54"),8,)</f>
        <v>1</v>
      </c>
      <c r="AI5" s="1">
        <f ca="1">VLOOKUP(A5,INDIRECT('LOCCS Import'!$Y$3&amp;"$A$3"):INDIRECT('LOCCS Import'!$Y$3&amp;"$O$54"),8,)</f>
        <v>0.96</v>
      </c>
      <c r="AJ5" s="1">
        <f ca="1">VLOOKUP(A5,INDIRECT('LOCCS Import'!$X$3&amp;"$A$3"):INDIRECT('LOCCS Import'!$X$3&amp;"$O$54"),8,)</f>
        <v>0.93</v>
      </c>
      <c r="AK5" s="1">
        <f ca="1">VLOOKUP(A5,INDIRECT('LOCCS Import'!$W$3&amp;"$A$3"):INDIRECT('LOCCS Import'!$W$3&amp;"$O$54"),8,)</f>
        <v>1.02</v>
      </c>
      <c r="AL5" s="1">
        <f ca="1">VLOOKUP(A5,INDIRECT('LOCCS Import'!$V$3&amp;"$A$3"):INDIRECT('LOCCS Import'!$V$3&amp;"$O$54"),8,)</f>
        <v>1.03</v>
      </c>
      <c r="AM5" s="1">
        <f ca="1">VLOOKUP(A5,INDIRECT('LOCCS Import'!$U$3&amp;"$A$3"):INDIRECT('LOCCS Import'!$U$3&amp;"$O$54"),8,)</f>
        <v>1.03</v>
      </c>
      <c r="AN5" s="1">
        <f ca="1">VLOOKUP(A5,INDIRECT('LOCCS Import'!$T$3&amp;"$A$3"):INDIRECT('LOCCS Import'!$T$3&amp;"$O$54"),8,)</f>
        <v>1.1499999999999999</v>
      </c>
      <c r="AO5" s="1">
        <f ca="1">VLOOKUP(A5,INDIRECT('LOCCS Import'!$S$3&amp;"$A$3"):INDIRECT('LOCCS Import'!$S$3&amp;"$O$54"),8,)</f>
        <v>1.05</v>
      </c>
      <c r="AP5" s="1">
        <f ca="1">VLOOKUP(A5,INDIRECT('LOCCS Import'!$R$3&amp;"$A$3"):INDIRECT('LOCCS Import'!$R$3&amp;"$O$54"),8,)</f>
        <v>1.1499999999999999</v>
      </c>
      <c r="AQ5" s="1">
        <f ca="1">VLOOKUP(A5,INDIRECT('LOCCS Import'!$Q$3&amp;"$A$3"):INDIRECT('LOCCS Import'!$Q$3&amp;"$O$54"),8,)</f>
        <v>1.17</v>
      </c>
      <c r="AR5" s="1">
        <f ca="1">VLOOKUP(A5,INDIRECT('LOCCS Import'!$P$3&amp;"$A$3"):INDIRECT('LOCCS Import'!$P$3&amp;"$O$54"),8,)</f>
        <v>1.21</v>
      </c>
      <c r="AS5" s="1">
        <f ca="1">VLOOKUP(A5,INDIRECT('LOCCS Import'!$O$3&amp;"$A$3"):INDIRECT('LOCCS Import'!$O$3&amp;"$O$54"),8,)</f>
        <v>1.19</v>
      </c>
      <c r="AT5" s="1">
        <f ca="1">VLOOKUP(A5,INDIRECT('LOCCS Import'!$N$3&amp;"$A$3"):INDIRECT('LOCCS Import'!$N$3&amp;"$O$54"),8,)</f>
        <v>1.1499999999999999</v>
      </c>
      <c r="AU5" s="1">
        <f ca="1">VLOOKUP(A5,INDIRECT('LOCCS Import'!$M$3&amp;"$A$3"):INDIRECT('LOCCS Import'!$M$3&amp;"$O$54"),8,)</f>
        <v>1.18</v>
      </c>
      <c r="AV5" s="1">
        <f ca="1">VLOOKUP(A5,INDIRECT('LOCCS Import'!$L$3&amp;"$A$3"):INDIRECT('LOCCS Import'!$L$3&amp;"$O$54"),8,)</f>
        <v>1.2</v>
      </c>
      <c r="AW5" s="1">
        <f ca="1">VLOOKUP(A5,INDIRECT('LOCCS Import'!$K$3&amp;"$A$3"):INDIRECT('LOCCS Import'!$K$3&amp;"$O$54"),8,)</f>
        <v>1.1299999999999999</v>
      </c>
      <c r="AX5" s="1">
        <f ca="1">VLOOKUP(A5,INDIRECT('LOCCS Import'!$J$3&amp;"$A$3"):INDIRECT('LOCCS Import'!$J$3&amp;"$O$54"),8,)</f>
        <v>1.17</v>
      </c>
      <c r="AY5" s="1">
        <f ca="1">VLOOKUP(A5,INDIRECT('LOCCS Import'!$I$3&amp;"$A$3"):INDIRECT('LOCCS Import'!$I$3&amp;"$O$54"),8,)</f>
        <v>1.1299999999999999</v>
      </c>
      <c r="AZ5" s="1">
        <f ca="1">VLOOKUP(A5,INDIRECT('LOCCS Import'!$H$3&amp;"$A$3"):INDIRECT('LOCCS Import'!$H$3&amp;"$O$54"),8,)</f>
        <v>1.06</v>
      </c>
      <c r="BA5" s="1">
        <f ca="1">VLOOKUP(A5,INDIRECT('LOCCS Import'!$G$3&amp;"$A$3"):INDIRECT('LOCCS Import'!$G$3&amp;"$O$54"),8,)</f>
        <v>1.17</v>
      </c>
      <c r="BB5" s="1">
        <f ca="1">VLOOKUP(A5,INDIRECT('LOCCS Import'!$F$3&amp;"$A$3"):INDIRECT('LOCCS Import'!$F$3&amp;"$O$54"),8,)</f>
        <v>1.04</v>
      </c>
      <c r="BC5" s="1">
        <f ca="1">VLOOKUP(A5,INDIRECT('LOCCS Import'!$E$3&amp;"$A$3"):INDIRECT('LOCCS Import'!$E$3&amp;"$O$54"),8,)</f>
        <v>1</v>
      </c>
      <c r="BD5" s="2">
        <f>VLOOKUP(A5,template!$A$3:$P$54,8,)</f>
        <v>0.98</v>
      </c>
      <c r="BE5" s="2">
        <f t="shared" ca="1" si="4"/>
        <v>1.1166666666666665</v>
      </c>
      <c r="BF5" s="115">
        <f t="shared" ca="1" si="5"/>
        <v>13</v>
      </c>
    </row>
    <row r="6" spans="1:58" x14ac:dyDescent="0.3">
      <c r="A6" s="67" t="s">
        <v>18</v>
      </c>
      <c r="B6" s="64" t="s">
        <v>73</v>
      </c>
      <c r="C6" s="64" t="s">
        <v>85</v>
      </c>
      <c r="D6" s="60">
        <f ca="1">VLOOKUP(A6,INDIRECT('LOCCS Import'!$AA$3&amp;"$A$3"):INDIRECT('LOCCS Import'!$AA$3&amp;"$O$54"),7,)</f>
        <v>3.32</v>
      </c>
      <c r="E6" s="60">
        <f ca="1">VLOOKUP(A6,INDIRECT('LOCCS Import'!$Z$3&amp;"$A$3"):INDIRECT('LOCCS Import'!$Z$3&amp;"$O$54"),7,)</f>
        <v>3.09</v>
      </c>
      <c r="F6" s="60">
        <f ca="1">VLOOKUP(A6,INDIRECT('LOCCS Import'!$Y$3&amp;"$A$3"):INDIRECT('LOCCS Import'!$Y$3&amp;"$O$54"),7,)</f>
        <v>3.02</v>
      </c>
      <c r="G6" s="60">
        <f ca="1">VLOOKUP(A6,INDIRECT('LOCCS Import'!$X$3&amp;"$A$3"):INDIRECT('LOCCS Import'!$X$3&amp;"$O$54"),7,)</f>
        <v>3.98</v>
      </c>
      <c r="H6" s="60">
        <f ca="1">VLOOKUP(A6,INDIRECT('LOCCS Import'!$W$3&amp;"$A$3"):INDIRECT('LOCCS Import'!$W$3&amp;"$O$54"),7,)</f>
        <v>3.92</v>
      </c>
      <c r="I6" s="60">
        <f ca="1">VLOOKUP(A6,INDIRECT('LOCCS Import'!$V$3&amp;"$A$3"):INDIRECT('LOCCS Import'!$V$3&amp;"$O$54"),7,)</f>
        <v>3.8</v>
      </c>
      <c r="J6" s="60">
        <f ca="1">VLOOKUP(A6,INDIRECT('LOCCS Import'!$U$3&amp;"$A$3"):INDIRECT('LOCCS Import'!$U$3&amp;"$O$54"),7,)</f>
        <v>3.8</v>
      </c>
      <c r="K6" s="60">
        <f ca="1">VLOOKUP(A6,INDIRECT('LOCCS Import'!$T$3&amp;"$A$3"):INDIRECT('LOCCS Import'!$T$3&amp;"$O$54"),7,)</f>
        <v>3.5</v>
      </c>
      <c r="L6" s="60">
        <f ca="1">VLOOKUP(A6,INDIRECT('LOCCS Import'!$S$3&amp;"$A$3"):INDIRECT('LOCCS Import'!$S$3&amp;"$O$54"),7,)</f>
        <v>3.43</v>
      </c>
      <c r="M6" s="60">
        <f ca="1">VLOOKUP(A6,INDIRECT('LOCCS Import'!$R$3&amp;"$A$3"):INDIRECT('LOCCS Import'!$R$3&amp;"$O$54"),7,)</f>
        <v>3.32</v>
      </c>
      <c r="N6" s="60">
        <f ca="1">VLOOKUP(A6,INDIRECT('LOCCS Import'!$Q$3&amp;"$A$3"):INDIRECT('LOCCS Import'!$Q$3&amp;"$O$54"),7,)</f>
        <v>3.22</v>
      </c>
      <c r="O6" s="60">
        <f ca="1">VLOOKUP(A6,INDIRECT('LOCCS Import'!$P$3&amp;"$A$3"):INDIRECT('LOCCS Import'!$P$3&amp;"$O$54"),7,)</f>
        <v>2.98</v>
      </c>
      <c r="P6" s="60">
        <f ca="1">VLOOKUP(A6,INDIRECT('LOCCS Import'!$O$3&amp;"$A$3"):INDIRECT('LOCCS Import'!$O$3&amp;"$O$54"),7,)</f>
        <v>2.9</v>
      </c>
      <c r="Q6" s="60">
        <f ca="1">VLOOKUP(A6,INDIRECT('LOCCS Import'!$N$3&amp;"$A$3"):INDIRECT('LOCCS Import'!$N$3&amp;"$O$54"),7,)</f>
        <v>2.4300000000000002</v>
      </c>
      <c r="R6" s="60">
        <f ca="1">VLOOKUP(A6,INDIRECT('LOCCS Import'!$M$3&amp;"$A$3"):INDIRECT('LOCCS Import'!$M$3&amp;"$O$54"),7,)</f>
        <v>2.4</v>
      </c>
      <c r="S6" s="60">
        <f ca="1">VLOOKUP(A6,INDIRECT('LOCCS Import'!$L$3&amp;"$A$3"):INDIRECT('LOCCS Import'!$L$3&amp;"$O$54"),7,)</f>
        <v>2.37</v>
      </c>
      <c r="T6" s="60">
        <f ca="1">VLOOKUP(A6,INDIRECT('LOCCS Import'!$K$3&amp;"$A$3"):INDIRECT('LOCCS Import'!$K$3&amp;"$O$54"),7,)</f>
        <v>2.2799999999999998</v>
      </c>
      <c r="U6" s="60">
        <f ca="1">VLOOKUP(A6,INDIRECT('LOCCS Import'!$J$3&amp;"$A$3"):INDIRECT('LOCCS Import'!$J$3&amp;"$O$54"),7,)</f>
        <v>3.08</v>
      </c>
      <c r="V6" s="60">
        <f ca="1">VLOOKUP(A6,INDIRECT('LOCCS Import'!$I$3&amp;"$A$3"):INDIRECT('LOCCS Import'!$I$3&amp;"$O$54"),7,)</f>
        <v>2.99</v>
      </c>
      <c r="W6" s="60">
        <f ca="1">VLOOKUP(A6,INDIRECT('LOCCS Import'!$H$3&amp;"$A$3"):INDIRECT('LOCCS Import'!$H$3&amp;"$O$54"),7,)</f>
        <v>2.86</v>
      </c>
      <c r="X6" s="60">
        <f ca="1">VLOOKUP(A6,INDIRECT('LOCCS Import'!$G$3&amp;"$A$3"):INDIRECT('LOCCS Import'!$G$3&amp;"$O$54"),7,)</f>
        <v>2.8</v>
      </c>
      <c r="Y6" s="60">
        <f ca="1">VLOOKUP(A6,INDIRECT('LOCCS Import'!$F$3&amp;"$A$3"):INDIRECT('LOCCS Import'!$F$3&amp;"$O$54"),7,)</f>
        <v>2.67</v>
      </c>
      <c r="Z6" s="60">
        <f ca="1">VLOOKUP(A6,INDIRECT('LOCCS Import'!$E$3&amp;"$A$3"):INDIRECT('LOCCS Import'!$E$3&amp;"$O$54"),7,)</f>
        <v>2.6</v>
      </c>
      <c r="AA6" s="60">
        <f>VLOOKUP(A6,template!$A$3:$P$54,7,)</f>
        <v>2.4700000000000002</v>
      </c>
      <c r="AB6" s="58">
        <f t="shared" ca="1" si="0"/>
        <v>3.08</v>
      </c>
      <c r="AC6" s="60">
        <f t="shared" ca="1" si="1"/>
        <v>2.2799999999999998</v>
      </c>
      <c r="AD6" s="61">
        <f t="shared" ca="1" si="2"/>
        <v>2.6541666666666668</v>
      </c>
      <c r="AE6" s="84">
        <f t="shared" ca="1" si="3"/>
        <v>18</v>
      </c>
      <c r="AF6" s="138"/>
      <c r="AG6" s="3">
        <f ca="1">VLOOKUP(A6,INDIRECT('LOCCS Import'!$AA$3&amp;"$A$3"):INDIRECT('LOCCS Import'!$AA$3&amp;"$O$54"),8,)</f>
        <v>0.87</v>
      </c>
      <c r="AH6" s="1">
        <f ca="1">VLOOKUP(A6,INDIRECT('LOCCS Import'!$Z$3&amp;"$A$3"):INDIRECT('LOCCS Import'!$Z$3&amp;"$O$54"),8,)</f>
        <v>1.08</v>
      </c>
      <c r="AI6" s="1">
        <f ca="1">VLOOKUP(A6,INDIRECT('LOCCS Import'!$Y$3&amp;"$A$3"):INDIRECT('LOCCS Import'!$Y$3&amp;"$O$54"),8,)</f>
        <v>1.06</v>
      </c>
      <c r="AJ6" s="1">
        <f ca="1">VLOOKUP(A6,INDIRECT('LOCCS Import'!$X$3&amp;"$A$3"):INDIRECT('LOCCS Import'!$X$3&amp;"$O$54"),8,)</f>
        <v>1.1100000000000001</v>
      </c>
      <c r="AK6" s="1">
        <f ca="1">VLOOKUP(A6,INDIRECT('LOCCS Import'!$W$3&amp;"$A$3"):INDIRECT('LOCCS Import'!$W$3&amp;"$O$54"),8,)</f>
        <v>1.1200000000000001</v>
      </c>
      <c r="AL6" s="1">
        <f ca="1">VLOOKUP(A6,INDIRECT('LOCCS Import'!$V$3&amp;"$A$3"):INDIRECT('LOCCS Import'!$V$3&amp;"$O$54"),8,)</f>
        <v>1.17</v>
      </c>
      <c r="AM6" s="1">
        <f ca="1">VLOOKUP(A6,INDIRECT('LOCCS Import'!$U$3&amp;"$A$3"):INDIRECT('LOCCS Import'!$U$3&amp;"$O$54"),8,)</f>
        <v>1.17</v>
      </c>
      <c r="AN6" s="1">
        <f ca="1">VLOOKUP(A6,INDIRECT('LOCCS Import'!$T$3&amp;"$A$3"):INDIRECT('LOCCS Import'!$T$3&amp;"$O$54"),8,)</f>
        <v>1.37</v>
      </c>
      <c r="AO6" s="1">
        <f ca="1">VLOOKUP(A6,INDIRECT('LOCCS Import'!$S$3&amp;"$A$3"):INDIRECT('LOCCS Import'!$S$3&amp;"$O$54"),8,)</f>
        <v>1.35</v>
      </c>
      <c r="AP6" s="1">
        <f ca="1">VLOOKUP(A6,INDIRECT('LOCCS Import'!$R$3&amp;"$A$3"):INDIRECT('LOCCS Import'!$R$3&amp;"$O$54"),8,)</f>
        <v>1.39</v>
      </c>
      <c r="AQ6" s="1">
        <f ca="1">VLOOKUP(A6,INDIRECT('LOCCS Import'!$Q$3&amp;"$A$3"):INDIRECT('LOCCS Import'!$Q$3&amp;"$O$54"),8,)</f>
        <v>1.37</v>
      </c>
      <c r="AR6" s="1">
        <f ca="1">VLOOKUP(A6,INDIRECT('LOCCS Import'!$P$3&amp;"$A$3"):INDIRECT('LOCCS Import'!$P$3&amp;"$O$54"),8,)</f>
        <v>1.4</v>
      </c>
      <c r="AS6" s="1">
        <f ca="1">VLOOKUP(A6,INDIRECT('LOCCS Import'!$O$3&amp;"$A$3"):INDIRECT('LOCCS Import'!$O$3&amp;"$O$54"),8,)</f>
        <v>1.42</v>
      </c>
      <c r="AT6" s="1">
        <f ca="1">VLOOKUP(A6,INDIRECT('LOCCS Import'!$N$3&amp;"$A$3"):INDIRECT('LOCCS Import'!$N$3&amp;"$O$54"),8,)</f>
        <v>1.66</v>
      </c>
      <c r="AU6" s="1">
        <f ca="1">VLOOKUP(A6,INDIRECT('LOCCS Import'!$M$3&amp;"$A$3"):INDIRECT('LOCCS Import'!$M$3&amp;"$O$54"),8,)</f>
        <v>1.62</v>
      </c>
      <c r="AV6" s="1">
        <f ca="1">VLOOKUP(A6,INDIRECT('LOCCS Import'!$L$3&amp;"$A$3"):INDIRECT('LOCCS Import'!$L$3&amp;"$O$54"),8,)</f>
        <v>1.55</v>
      </c>
      <c r="AW6" s="1">
        <f ca="1">VLOOKUP(A6,INDIRECT('LOCCS Import'!$K$3&amp;"$A$3"):INDIRECT('LOCCS Import'!$K$3&amp;"$O$54"),8,)</f>
        <v>1.58</v>
      </c>
      <c r="AX6" s="1">
        <f ca="1">VLOOKUP(A6,INDIRECT('LOCCS Import'!$J$3&amp;"$A$3"):INDIRECT('LOCCS Import'!$J$3&amp;"$O$54"),8,)</f>
        <v>1.63</v>
      </c>
      <c r="AY6" s="1">
        <f ca="1">VLOOKUP(A6,INDIRECT('LOCCS Import'!$I$3&amp;"$A$3"):INDIRECT('LOCCS Import'!$I$3&amp;"$O$54"),8,)</f>
        <v>1.52</v>
      </c>
      <c r="AZ6" s="1">
        <f ca="1">VLOOKUP(A6,INDIRECT('LOCCS Import'!$H$3&amp;"$A$3"):INDIRECT('LOCCS Import'!$H$3&amp;"$O$54"),8,)</f>
        <v>1.55</v>
      </c>
      <c r="BA6" s="1">
        <f ca="1">VLOOKUP(A6,INDIRECT('LOCCS Import'!$G$3&amp;"$A$3"):INDIRECT('LOCCS Import'!$G$3&amp;"$O$54"),8,)</f>
        <v>1.54</v>
      </c>
      <c r="BB6" s="1">
        <f ca="1">VLOOKUP(A6,INDIRECT('LOCCS Import'!$F$3&amp;"$A$3"):INDIRECT('LOCCS Import'!$F$3&amp;"$O$54"),8,)</f>
        <v>1.56</v>
      </c>
      <c r="BC6" s="1">
        <f ca="1">VLOOKUP(A6,INDIRECT('LOCCS Import'!$E$3&amp;"$A$3"):INDIRECT('LOCCS Import'!$E$3&amp;"$O$54"),8,)</f>
        <v>1.53</v>
      </c>
      <c r="BD6" s="2">
        <f>VLOOKUP(A6,template!$A$3:$P$54,8,)</f>
        <v>1.44</v>
      </c>
      <c r="BE6" s="2">
        <f t="shared" ca="1" si="4"/>
        <v>1.55</v>
      </c>
      <c r="BF6" s="115">
        <f t="shared" ca="1" si="5"/>
        <v>2</v>
      </c>
    </row>
    <row r="7" spans="1:58" x14ac:dyDescent="0.3">
      <c r="A7" s="67" t="s">
        <v>19</v>
      </c>
      <c r="B7" s="64" t="s">
        <v>73</v>
      </c>
      <c r="C7" s="64" t="s">
        <v>86</v>
      </c>
      <c r="D7" s="60">
        <f ca="1">VLOOKUP(A7,INDIRECT('LOCCS Import'!$AA$3&amp;"$A$3"):INDIRECT('LOCCS Import'!$AA$3&amp;"$O$54"),7,)</f>
        <v>3.23</v>
      </c>
      <c r="E7" s="60">
        <f ca="1">VLOOKUP(A7,INDIRECT('LOCCS Import'!$Z$3&amp;"$A$3"):INDIRECT('LOCCS Import'!$Z$3&amp;"$O$54"),7,)</f>
        <v>4.2699999999999996</v>
      </c>
      <c r="F7" s="60">
        <f ca="1">VLOOKUP(A7,INDIRECT('LOCCS Import'!$Y$3&amp;"$A$3"):INDIRECT('LOCCS Import'!$Y$3&amp;"$O$54"),7,)</f>
        <v>4.07</v>
      </c>
      <c r="G7" s="60">
        <f ca="1">VLOOKUP(A7,INDIRECT('LOCCS Import'!$X$3&amp;"$A$3"):INDIRECT('LOCCS Import'!$X$3&amp;"$O$54"),7,)</f>
        <v>4.04</v>
      </c>
      <c r="H7" s="60">
        <f ca="1">VLOOKUP(A7,INDIRECT('LOCCS Import'!$W$3&amp;"$A$3"):INDIRECT('LOCCS Import'!$W$3&amp;"$O$54"),7,)</f>
        <v>3.97</v>
      </c>
      <c r="I7" s="60">
        <f ca="1">VLOOKUP(A7,INDIRECT('LOCCS Import'!$V$3&amp;"$A$3"):INDIRECT('LOCCS Import'!$V$3&amp;"$O$54"),7,)</f>
        <v>3.83</v>
      </c>
      <c r="J7" s="60">
        <f ca="1">VLOOKUP(A7,INDIRECT('LOCCS Import'!$U$3&amp;"$A$3"):INDIRECT('LOCCS Import'!$U$3&amp;"$O$54"),7,)</f>
        <v>3.83</v>
      </c>
      <c r="K7" s="60">
        <f ca="1">VLOOKUP(A7,INDIRECT('LOCCS Import'!$T$3&amp;"$A$3"):INDIRECT('LOCCS Import'!$T$3&amp;"$O$54"),7,)</f>
        <v>3.68</v>
      </c>
      <c r="L7" s="60">
        <f ca="1">VLOOKUP(A7,INDIRECT('LOCCS Import'!$S$3&amp;"$A$3"):INDIRECT('LOCCS Import'!$S$3&amp;"$O$54"),7,)</f>
        <v>3.64</v>
      </c>
      <c r="M7" s="60">
        <f ca="1">VLOOKUP(A7,INDIRECT('LOCCS Import'!$R$3&amp;"$A$3"):INDIRECT('LOCCS Import'!$R$3&amp;"$O$54"),7,)</f>
        <v>3.55</v>
      </c>
      <c r="N7" s="60">
        <f ca="1">VLOOKUP(A7,INDIRECT('LOCCS Import'!$Q$3&amp;"$A$3"):INDIRECT('LOCCS Import'!$Q$3&amp;"$O$54"),7,)</f>
        <v>3.44</v>
      </c>
      <c r="O7" s="60">
        <f ca="1">VLOOKUP(A7,INDIRECT('LOCCS Import'!$P$3&amp;"$A$3"):INDIRECT('LOCCS Import'!$P$3&amp;"$O$54"),7,)</f>
        <v>4.41</v>
      </c>
      <c r="P7" s="60">
        <f ca="1">VLOOKUP(A7,INDIRECT('LOCCS Import'!$O$3&amp;"$A$3"):INDIRECT('LOCCS Import'!$O$3&amp;"$O$54"),7,)</f>
        <v>4.29</v>
      </c>
      <c r="Q7" s="60">
        <f ca="1">VLOOKUP(A7,INDIRECT('LOCCS Import'!$N$3&amp;"$A$3"):INDIRECT('LOCCS Import'!$N$3&amp;"$O$54"),7,)</f>
        <v>4.1100000000000003</v>
      </c>
      <c r="R7" s="60">
        <f ca="1">VLOOKUP(A7,INDIRECT('LOCCS Import'!$M$3&amp;"$A$3"):INDIRECT('LOCCS Import'!$M$3&amp;"$O$54"),7,)</f>
        <v>3.9</v>
      </c>
      <c r="S7" s="60">
        <f ca="1">VLOOKUP(A7,INDIRECT('LOCCS Import'!$L$3&amp;"$A$3"):INDIRECT('LOCCS Import'!$L$3&amp;"$O$54"),7,)</f>
        <v>3.8</v>
      </c>
      <c r="T7" s="60">
        <f ca="1">VLOOKUP(A7,INDIRECT('LOCCS Import'!$K$3&amp;"$A$3"):INDIRECT('LOCCS Import'!$K$3&amp;"$O$54"),7,)</f>
        <v>3.51</v>
      </c>
      <c r="U7" s="60">
        <f ca="1">VLOOKUP(A7,INDIRECT('LOCCS Import'!$J$3&amp;"$A$3"):INDIRECT('LOCCS Import'!$J$3&amp;"$O$54"),7,)</f>
        <v>3.3</v>
      </c>
      <c r="V7" s="60">
        <f ca="1">VLOOKUP(A7,INDIRECT('LOCCS Import'!$I$3&amp;"$A$3"):INDIRECT('LOCCS Import'!$I$3&amp;"$O$54"),7,)</f>
        <v>3.14</v>
      </c>
      <c r="W7" s="60">
        <f ca="1">VLOOKUP(A7,INDIRECT('LOCCS Import'!$H$3&amp;"$A$3"):INDIRECT('LOCCS Import'!$H$3&amp;"$O$54"),7,)</f>
        <v>3.03</v>
      </c>
      <c r="X7" s="60">
        <f ca="1">VLOOKUP(A7,INDIRECT('LOCCS Import'!$G$3&amp;"$A$3"):INDIRECT('LOCCS Import'!$G$3&amp;"$O$54"),7,)</f>
        <v>2.98</v>
      </c>
      <c r="Y7" s="60">
        <f ca="1">VLOOKUP(A7,INDIRECT('LOCCS Import'!$F$3&amp;"$A$3"):INDIRECT('LOCCS Import'!$F$3&amp;"$O$54"),7,)</f>
        <v>2.83</v>
      </c>
      <c r="Z7" s="60">
        <f ca="1">VLOOKUP(A7,INDIRECT('LOCCS Import'!$E$3&amp;"$A$3"):INDIRECT('LOCCS Import'!$E$3&amp;"$O$54"),7,)</f>
        <v>2.72</v>
      </c>
      <c r="AA7" s="60">
        <f>VLOOKUP(A7,template!$A$3:$P$54,7,)</f>
        <v>2.63</v>
      </c>
      <c r="AB7" s="58">
        <f t="shared" ca="1" si="0"/>
        <v>4.29</v>
      </c>
      <c r="AC7" s="60">
        <f t="shared" ca="1" si="1"/>
        <v>2.63</v>
      </c>
      <c r="AD7" s="61">
        <f t="shared" ca="1" si="2"/>
        <v>3.3533333333333335</v>
      </c>
      <c r="AE7" s="84">
        <f t="shared" ca="1" si="3"/>
        <v>32</v>
      </c>
      <c r="AF7" s="138"/>
      <c r="AG7" s="3">
        <f ca="1">VLOOKUP(A7,INDIRECT('LOCCS Import'!$AA$3&amp;"$A$3"):INDIRECT('LOCCS Import'!$AA$3&amp;"$O$54"),8,)</f>
        <v>0.64</v>
      </c>
      <c r="AH7" s="1">
        <f ca="1">VLOOKUP(A7,INDIRECT('LOCCS Import'!$Z$3&amp;"$A$3"):INDIRECT('LOCCS Import'!$Z$3&amp;"$O$54"),8,)</f>
        <v>0.64</v>
      </c>
      <c r="AI7" s="1">
        <f ca="1">VLOOKUP(A7,INDIRECT('LOCCS Import'!$Y$3&amp;"$A$3"):INDIRECT('LOCCS Import'!$Y$3&amp;"$O$54"),8,)</f>
        <v>0.8</v>
      </c>
      <c r="AJ7" s="1">
        <f ca="1">VLOOKUP(A7,INDIRECT('LOCCS Import'!$X$3&amp;"$A$3"):INDIRECT('LOCCS Import'!$X$3&amp;"$O$54"),8,)</f>
        <v>0.8</v>
      </c>
      <c r="AK7" s="1">
        <f ca="1">VLOOKUP(A7,INDIRECT('LOCCS Import'!$W$3&amp;"$A$3"):INDIRECT('LOCCS Import'!$W$3&amp;"$O$54"),8,)</f>
        <v>0.83</v>
      </c>
      <c r="AL7" s="1">
        <f ca="1">VLOOKUP(A7,INDIRECT('LOCCS Import'!$V$3&amp;"$A$3"):INDIRECT('LOCCS Import'!$V$3&amp;"$O$54"),8,)</f>
        <v>0.92</v>
      </c>
      <c r="AM7" s="1">
        <f ca="1">VLOOKUP(A7,INDIRECT('LOCCS Import'!$U$3&amp;"$A$3"):INDIRECT('LOCCS Import'!$U$3&amp;"$O$54"),8,)</f>
        <v>0.92</v>
      </c>
      <c r="AN7" s="1">
        <f ca="1">VLOOKUP(A7,INDIRECT('LOCCS Import'!$T$3&amp;"$A$3"):INDIRECT('LOCCS Import'!$T$3&amp;"$O$54"),8,)</f>
        <v>0.94</v>
      </c>
      <c r="AO7" s="1">
        <f ca="1">VLOOKUP(A7,INDIRECT('LOCCS Import'!$S$3&amp;"$A$3"):INDIRECT('LOCCS Import'!$S$3&amp;"$O$54"),8,)</f>
        <v>0.97</v>
      </c>
      <c r="AP7" s="1">
        <f ca="1">VLOOKUP(A7,INDIRECT('LOCCS Import'!$R$3&amp;"$A$3"):INDIRECT('LOCCS Import'!$R$3&amp;"$O$54"),8,)</f>
        <v>1.01</v>
      </c>
      <c r="AQ7" s="1">
        <f ca="1">VLOOKUP(A7,INDIRECT('LOCCS Import'!$Q$3&amp;"$A$3"):INDIRECT('LOCCS Import'!$Q$3&amp;"$O$54"),8,)</f>
        <v>0.99</v>
      </c>
      <c r="AR7" s="1">
        <f ca="1">VLOOKUP(A7,INDIRECT('LOCCS Import'!$P$3&amp;"$A$3"):INDIRECT('LOCCS Import'!$P$3&amp;"$O$54"),8,)</f>
        <v>1.02</v>
      </c>
      <c r="AS7" s="1">
        <f ca="1">VLOOKUP(A7,INDIRECT('LOCCS Import'!$O$3&amp;"$A$3"):INDIRECT('LOCCS Import'!$O$3&amp;"$O$54"),8,)</f>
        <v>1.0900000000000001</v>
      </c>
      <c r="AT7" s="1">
        <f ca="1">VLOOKUP(A7,INDIRECT('LOCCS Import'!$N$3&amp;"$A$3"):INDIRECT('LOCCS Import'!$N$3&amp;"$O$54"),8,)</f>
        <v>1.21</v>
      </c>
      <c r="AU7" s="1">
        <f ca="1">VLOOKUP(A7,INDIRECT('LOCCS Import'!$M$3&amp;"$A$3"):INDIRECT('LOCCS Import'!$M$3&amp;"$O$54"),8,)</f>
        <v>1.21</v>
      </c>
      <c r="AV7" s="1">
        <f ca="1">VLOOKUP(A7,INDIRECT('LOCCS Import'!$L$3&amp;"$A$3"):INDIRECT('LOCCS Import'!$L$3&amp;"$O$54"),8,)</f>
        <v>1.28</v>
      </c>
      <c r="AW7" s="1">
        <f ca="1">VLOOKUP(A7,INDIRECT('LOCCS Import'!$K$3&amp;"$A$3"):INDIRECT('LOCCS Import'!$K$3&amp;"$O$54"),8,)</f>
        <v>1.28</v>
      </c>
      <c r="AX7" s="1">
        <f ca="1">VLOOKUP(A7,INDIRECT('LOCCS Import'!$J$3&amp;"$A$3"):INDIRECT('LOCCS Import'!$J$3&amp;"$O$54"),8,)</f>
        <v>1.57</v>
      </c>
      <c r="AY7" s="1">
        <f ca="1">VLOOKUP(A7,INDIRECT('LOCCS Import'!$I$3&amp;"$A$3"):INDIRECT('LOCCS Import'!$I$3&amp;"$O$54"),8,)</f>
        <v>1.6</v>
      </c>
      <c r="AZ7" s="1">
        <f ca="1">VLOOKUP(A7,INDIRECT('LOCCS Import'!$H$3&amp;"$A$3"):INDIRECT('LOCCS Import'!$H$3&amp;"$O$54"),8,)</f>
        <v>1.68</v>
      </c>
      <c r="BA7" s="1">
        <f ca="1">VLOOKUP(A7,INDIRECT('LOCCS Import'!$G$3&amp;"$A$3"):INDIRECT('LOCCS Import'!$G$3&amp;"$O$54"),8,)</f>
        <v>1.7</v>
      </c>
      <c r="BB7" s="1">
        <f ca="1">VLOOKUP(A7,INDIRECT('LOCCS Import'!$F$3&amp;"$A$3"):INDIRECT('LOCCS Import'!$F$3&amp;"$O$54"),8,)</f>
        <v>1.75</v>
      </c>
      <c r="BC7" s="1">
        <f ca="1">VLOOKUP(A7,INDIRECT('LOCCS Import'!$E$3&amp;"$A$3"):INDIRECT('LOCCS Import'!$E$3&amp;"$O$54"),8,)</f>
        <v>1.75</v>
      </c>
      <c r="BD7" s="2">
        <f>VLOOKUP(A7,template!$A$3:$P$54,8,)</f>
        <v>1.78</v>
      </c>
      <c r="BE7" s="2">
        <f t="shared" ca="1" si="4"/>
        <v>1.4916666666666665</v>
      </c>
      <c r="BF7" s="115">
        <f t="shared" ca="1" si="5"/>
        <v>4</v>
      </c>
    </row>
    <row r="8" spans="1:58" x14ac:dyDescent="0.3">
      <c r="A8" s="67" t="s">
        <v>20</v>
      </c>
      <c r="B8" s="64" t="s">
        <v>72</v>
      </c>
      <c r="C8" s="64" t="s">
        <v>87</v>
      </c>
      <c r="D8" s="60">
        <f ca="1">VLOOKUP(A8,INDIRECT('LOCCS Import'!$AA$3&amp;"$A$3"):INDIRECT('LOCCS Import'!$AA$3&amp;"$O$54"),7,)</f>
        <v>2.85</v>
      </c>
      <c r="E8" s="60">
        <f ca="1">VLOOKUP(A8,INDIRECT('LOCCS Import'!$Z$3&amp;"$A$3"):INDIRECT('LOCCS Import'!$Z$3&amp;"$O$54"),7,)</f>
        <v>2.82</v>
      </c>
      <c r="F8" s="60">
        <f ca="1">VLOOKUP(A8,INDIRECT('LOCCS Import'!$Y$3&amp;"$A$3"):INDIRECT('LOCCS Import'!$Y$3&amp;"$O$54"),7,)</f>
        <v>3.58</v>
      </c>
      <c r="G8" s="60">
        <f ca="1">VLOOKUP(A8,INDIRECT('LOCCS Import'!$X$3&amp;"$A$3"):INDIRECT('LOCCS Import'!$X$3&amp;"$O$54"),7,)</f>
        <v>2.92</v>
      </c>
      <c r="H8" s="60">
        <f ca="1">VLOOKUP(A8,INDIRECT('LOCCS Import'!$W$3&amp;"$A$3"):INDIRECT('LOCCS Import'!$W$3&amp;"$O$54"),7,)</f>
        <v>2.89</v>
      </c>
      <c r="I8" s="60">
        <f ca="1">VLOOKUP(A8,INDIRECT('LOCCS Import'!$V$3&amp;"$A$3"):INDIRECT('LOCCS Import'!$V$3&amp;"$O$54"),7,)</f>
        <v>2.82</v>
      </c>
      <c r="J8" s="60">
        <f ca="1">VLOOKUP(A8,INDIRECT('LOCCS Import'!$U$3&amp;"$A$3"):INDIRECT('LOCCS Import'!$U$3&amp;"$O$54"),7,)</f>
        <v>2.82</v>
      </c>
      <c r="K8" s="60">
        <f ca="1">VLOOKUP(A8,INDIRECT('LOCCS Import'!$T$3&amp;"$A$3"):INDIRECT('LOCCS Import'!$T$3&amp;"$O$54"),7,)</f>
        <v>2.77</v>
      </c>
      <c r="L8" s="60">
        <f ca="1">VLOOKUP(A8,INDIRECT('LOCCS Import'!$S$3&amp;"$A$3"):INDIRECT('LOCCS Import'!$S$3&amp;"$O$54"),7,)</f>
        <v>2.77</v>
      </c>
      <c r="M8" s="60">
        <f ca="1">VLOOKUP(A8,INDIRECT('LOCCS Import'!$R$3&amp;"$A$3"):INDIRECT('LOCCS Import'!$R$3&amp;"$O$54"),7,)</f>
        <v>2.85</v>
      </c>
      <c r="N8" s="60">
        <f ca="1">VLOOKUP(A8,INDIRECT('LOCCS Import'!$Q$3&amp;"$A$3"):INDIRECT('LOCCS Import'!$Q$3&amp;"$O$54"),7,)</f>
        <v>2.75</v>
      </c>
      <c r="O8" s="60">
        <f ca="1">VLOOKUP(A8,INDIRECT('LOCCS Import'!$P$3&amp;"$A$3"):INDIRECT('LOCCS Import'!$P$3&amp;"$O$54"),7,)</f>
        <v>2.8</v>
      </c>
      <c r="P8" s="60">
        <f ca="1">VLOOKUP(A8,INDIRECT('LOCCS Import'!$O$3&amp;"$A$3"):INDIRECT('LOCCS Import'!$O$3&amp;"$O$54"),7,)</f>
        <v>2.77</v>
      </c>
      <c r="Q8" s="60">
        <f ca="1">VLOOKUP(A8,INDIRECT('LOCCS Import'!$N$3&amp;"$A$3"):INDIRECT('LOCCS Import'!$N$3&amp;"$O$54"),7,)</f>
        <v>2.76</v>
      </c>
      <c r="R8" s="60">
        <f ca="1">VLOOKUP(A8,INDIRECT('LOCCS Import'!$M$3&amp;"$A$3"):INDIRECT('LOCCS Import'!$M$3&amp;"$O$54"),7,)</f>
        <v>2.8</v>
      </c>
      <c r="S8" s="60">
        <f ca="1">VLOOKUP(A8,INDIRECT('LOCCS Import'!$L$3&amp;"$A$3"):INDIRECT('LOCCS Import'!$L$3&amp;"$O$54"),7,)</f>
        <v>2.79</v>
      </c>
      <c r="T8" s="60">
        <f ca="1">VLOOKUP(A8,INDIRECT('LOCCS Import'!$K$3&amp;"$A$3"):INDIRECT('LOCCS Import'!$K$3&amp;"$O$54"),7,)</f>
        <v>2.74</v>
      </c>
      <c r="U8" s="60">
        <f ca="1">VLOOKUP(A8,INDIRECT('LOCCS Import'!$J$3&amp;"$A$3"):INDIRECT('LOCCS Import'!$J$3&amp;"$O$54"),7,)</f>
        <v>3.45</v>
      </c>
      <c r="V8" s="60">
        <f ca="1">VLOOKUP(A8,INDIRECT('LOCCS Import'!$I$3&amp;"$A$3"):INDIRECT('LOCCS Import'!$I$3&amp;"$O$54"),7,)</f>
        <v>3.43</v>
      </c>
      <c r="W8" s="60">
        <f ca="1">VLOOKUP(A8,INDIRECT('LOCCS Import'!$H$3&amp;"$A$3"):INDIRECT('LOCCS Import'!$H$3&amp;"$O$54"),7,)</f>
        <v>3.38</v>
      </c>
      <c r="X8" s="60">
        <f ca="1">VLOOKUP(A8,INDIRECT('LOCCS Import'!$G$3&amp;"$A$3"):INDIRECT('LOCCS Import'!$G$3&amp;"$O$54"),7,)</f>
        <v>3.35</v>
      </c>
      <c r="Y8" s="60">
        <f ca="1">VLOOKUP(A8,INDIRECT('LOCCS Import'!$F$3&amp;"$A$3"):INDIRECT('LOCCS Import'!$F$3&amp;"$O$54"),7,)</f>
        <v>3.33</v>
      </c>
      <c r="Z8" s="60">
        <f ca="1">VLOOKUP(A8,INDIRECT('LOCCS Import'!$E$3&amp;"$A$3"):INDIRECT('LOCCS Import'!$E$3&amp;"$O$54"),7,)</f>
        <v>3.31</v>
      </c>
      <c r="AA8" s="60">
        <f>VLOOKUP(A8,template!$A$3:$P$54,7,)</f>
        <v>3.28</v>
      </c>
      <c r="AB8" s="58">
        <f t="shared" ca="1" si="0"/>
        <v>3.45</v>
      </c>
      <c r="AC8" s="60">
        <f t="shared" ca="1" si="1"/>
        <v>2.74</v>
      </c>
      <c r="AD8" s="61">
        <f t="shared" ca="1" si="2"/>
        <v>3.1158333333333332</v>
      </c>
      <c r="AE8" s="84">
        <f t="shared" ca="1" si="3"/>
        <v>26</v>
      </c>
      <c r="AF8" s="138"/>
      <c r="AG8" s="3">
        <f ca="1">VLOOKUP(A8,INDIRECT('LOCCS Import'!$AA$3&amp;"$A$3"):INDIRECT('LOCCS Import'!$AA$3&amp;"$O$54"),8,)</f>
        <v>1.08</v>
      </c>
      <c r="AH8" s="1">
        <f ca="1">VLOOKUP(A8,INDIRECT('LOCCS Import'!$Z$3&amp;"$A$3"):INDIRECT('LOCCS Import'!$Z$3&amp;"$O$54"),8,)</f>
        <v>1.06</v>
      </c>
      <c r="AI8" s="1">
        <f ca="1">VLOOKUP(A8,INDIRECT('LOCCS Import'!$Y$3&amp;"$A$3"):INDIRECT('LOCCS Import'!$Y$3&amp;"$O$54"),8,)</f>
        <v>1.28</v>
      </c>
      <c r="AJ8" s="1">
        <f ca="1">VLOOKUP(A8,INDIRECT('LOCCS Import'!$X$3&amp;"$A$3"):INDIRECT('LOCCS Import'!$X$3&amp;"$O$54"),8,)</f>
        <v>1.93</v>
      </c>
      <c r="AK8" s="1">
        <f ca="1">VLOOKUP(A8,INDIRECT('LOCCS Import'!$W$3&amp;"$A$3"):INDIRECT('LOCCS Import'!$W$3&amp;"$O$54"),8,)</f>
        <v>1.81</v>
      </c>
      <c r="AL8" s="1">
        <f ca="1">VLOOKUP(A8,INDIRECT('LOCCS Import'!$V$3&amp;"$A$3"):INDIRECT('LOCCS Import'!$V$3&amp;"$O$54"),8,)</f>
        <v>1.81</v>
      </c>
      <c r="AM8" s="1">
        <f ca="1">VLOOKUP(A8,INDIRECT('LOCCS Import'!$U$3&amp;"$A$3"):INDIRECT('LOCCS Import'!$U$3&amp;"$O$54"),8,)</f>
        <v>1.81</v>
      </c>
      <c r="AN8" s="1">
        <f ca="1">VLOOKUP(A8,INDIRECT('LOCCS Import'!$T$3&amp;"$A$3"):INDIRECT('LOCCS Import'!$T$3&amp;"$O$54"),8,)</f>
        <v>1.66</v>
      </c>
      <c r="AO8" s="1">
        <f ca="1">VLOOKUP(A8,INDIRECT('LOCCS Import'!$S$3&amp;"$A$3"):INDIRECT('LOCCS Import'!$S$3&amp;"$O$54"),8,)</f>
        <v>1.5</v>
      </c>
      <c r="AP8" s="1">
        <f ca="1">VLOOKUP(A8,INDIRECT('LOCCS Import'!$R$3&amp;"$A$3"):INDIRECT('LOCCS Import'!$R$3&amp;"$O$54"),8,)</f>
        <v>1.56</v>
      </c>
      <c r="AQ8" s="1">
        <f ca="1">VLOOKUP(A8,INDIRECT('LOCCS Import'!$Q$3&amp;"$A$3"):INDIRECT('LOCCS Import'!$Q$3&amp;"$O$54"),8,)</f>
        <v>1.66</v>
      </c>
      <c r="AR8" s="1">
        <f ca="1">VLOOKUP(A8,INDIRECT('LOCCS Import'!$P$3&amp;"$A$3"):INDIRECT('LOCCS Import'!$P$3&amp;"$O$54"),8,)</f>
        <v>1.73</v>
      </c>
      <c r="AS8" s="1">
        <f ca="1">VLOOKUP(A8,INDIRECT('LOCCS Import'!$O$3&amp;"$A$3"):INDIRECT('LOCCS Import'!$O$3&amp;"$O$54"),8,)</f>
        <v>1.38</v>
      </c>
      <c r="AT8" s="1">
        <f ca="1">VLOOKUP(A8,INDIRECT('LOCCS Import'!$N$3&amp;"$A$3"):INDIRECT('LOCCS Import'!$N$3&amp;"$O$54"),8,)</f>
        <v>1.36</v>
      </c>
      <c r="AU8" s="1">
        <f ca="1">VLOOKUP(A8,INDIRECT('LOCCS Import'!$M$3&amp;"$A$3"):INDIRECT('LOCCS Import'!$M$3&amp;"$O$54"),8,)</f>
        <v>1.1599999999999999</v>
      </c>
      <c r="AV8" s="1">
        <f ca="1">VLOOKUP(A8,INDIRECT('LOCCS Import'!$L$3&amp;"$A$3"):INDIRECT('LOCCS Import'!$L$3&amp;"$O$54"),8,)</f>
        <v>0.51</v>
      </c>
      <c r="AW8" s="1">
        <f ca="1">VLOOKUP(A8,INDIRECT('LOCCS Import'!$K$3&amp;"$A$3"):INDIRECT('LOCCS Import'!$K$3&amp;"$O$54"),8,)</f>
        <v>0.53</v>
      </c>
      <c r="AX8" s="1">
        <f ca="1">VLOOKUP(A8,INDIRECT('LOCCS Import'!$J$3&amp;"$A$3"):INDIRECT('LOCCS Import'!$J$3&amp;"$O$54"),8,)</f>
        <v>0.68</v>
      </c>
      <c r="AY8" s="1">
        <f ca="1">VLOOKUP(A8,INDIRECT('LOCCS Import'!$I$3&amp;"$A$3"):INDIRECT('LOCCS Import'!$I$3&amp;"$O$54"),8,)</f>
        <v>0.7</v>
      </c>
      <c r="AZ8" s="1">
        <f ca="1">VLOOKUP(A8,INDIRECT('LOCCS Import'!$H$3&amp;"$A$3"):INDIRECT('LOCCS Import'!$H$3&amp;"$O$54"),8,)</f>
        <v>0.73</v>
      </c>
      <c r="BA8" s="1">
        <f ca="1">VLOOKUP(A8,INDIRECT('LOCCS Import'!$G$3&amp;"$A$3"):INDIRECT('LOCCS Import'!$G$3&amp;"$O$54"),8,)</f>
        <v>0.77</v>
      </c>
      <c r="BB8" s="1">
        <f ca="1">VLOOKUP(A8,INDIRECT('LOCCS Import'!$F$3&amp;"$A$3"):INDIRECT('LOCCS Import'!$F$3&amp;"$O$54"),8,)</f>
        <v>0.71</v>
      </c>
      <c r="BC8" s="1">
        <f ca="1">VLOOKUP(A8,INDIRECT('LOCCS Import'!$E$3&amp;"$A$3"):INDIRECT('LOCCS Import'!$E$3&amp;"$O$54"),8,)</f>
        <v>0.63</v>
      </c>
      <c r="BD8" s="2">
        <f>VLOOKUP(A8,template!$A$3:$P$54,8,)</f>
        <v>0.57999999999999996</v>
      </c>
      <c r="BE8" s="2">
        <f t="shared" ca="1" si="4"/>
        <v>0.81166666666666687</v>
      </c>
      <c r="BF8" s="115">
        <f t="shared" ca="1" si="5"/>
        <v>39</v>
      </c>
    </row>
    <row r="9" spans="1:58" x14ac:dyDescent="0.3">
      <c r="A9" s="67" t="s">
        <v>21</v>
      </c>
      <c r="B9" s="64" t="s">
        <v>73</v>
      </c>
      <c r="C9" s="64" t="s">
        <v>88</v>
      </c>
      <c r="D9" s="60">
        <f ca="1">VLOOKUP(A9,INDIRECT('LOCCS Import'!$AA$3&amp;"$A$3"):INDIRECT('LOCCS Import'!$AA$3&amp;"$O$54"),7,)</f>
        <v>3.33</v>
      </c>
      <c r="E9" s="60">
        <f ca="1">VLOOKUP(A9,INDIRECT('LOCCS Import'!$Z$3&amp;"$A$3"):INDIRECT('LOCCS Import'!$Z$3&amp;"$O$54"),7,)</f>
        <v>3.33</v>
      </c>
      <c r="F9" s="60">
        <f ca="1">VLOOKUP(A9,INDIRECT('LOCCS Import'!$Y$3&amp;"$A$3"):INDIRECT('LOCCS Import'!$Y$3&amp;"$O$54"),7,)</f>
        <v>3.12</v>
      </c>
      <c r="G9" s="60">
        <f ca="1">VLOOKUP(A9,INDIRECT('LOCCS Import'!$X$3&amp;"$A$3"):INDIRECT('LOCCS Import'!$X$3&amp;"$O$54"),7,)</f>
        <v>3.12</v>
      </c>
      <c r="H9" s="60">
        <f ca="1">VLOOKUP(A9,INDIRECT('LOCCS Import'!$W$3&amp;"$A$3"):INDIRECT('LOCCS Import'!$W$3&amp;"$O$54"),7,)</f>
        <v>2.75</v>
      </c>
      <c r="I9" s="60">
        <f ca="1">VLOOKUP(A9,INDIRECT('LOCCS Import'!$V$3&amp;"$A$3"):INDIRECT('LOCCS Import'!$V$3&amp;"$O$54"),7,)</f>
        <v>2.75</v>
      </c>
      <c r="J9" s="60">
        <f ca="1">VLOOKUP(A9,INDIRECT('LOCCS Import'!$U$3&amp;"$A$3"):INDIRECT('LOCCS Import'!$U$3&amp;"$O$54"),7,)</f>
        <v>2.75</v>
      </c>
      <c r="K9" s="60">
        <f ca="1">VLOOKUP(A9,INDIRECT('LOCCS Import'!$T$3&amp;"$A$3"):INDIRECT('LOCCS Import'!$T$3&amp;"$O$54"),7,)</f>
        <v>2.75</v>
      </c>
      <c r="L9" s="60">
        <f ca="1">VLOOKUP(A9,INDIRECT('LOCCS Import'!$S$3&amp;"$A$3"):INDIRECT('LOCCS Import'!$S$3&amp;"$O$54"),7,)</f>
        <v>2.62</v>
      </c>
      <c r="M9" s="60">
        <f ca="1">VLOOKUP(A9,INDIRECT('LOCCS Import'!$R$3&amp;"$A$3"):INDIRECT('LOCCS Import'!$R$3&amp;"$O$54"),7,)</f>
        <v>2.59</v>
      </c>
      <c r="N9" s="60">
        <f ca="1">VLOOKUP(A9,INDIRECT('LOCCS Import'!$Q$3&amp;"$A$3"):INDIRECT('LOCCS Import'!$Q$3&amp;"$O$54"),7,)</f>
        <v>2.5299999999999998</v>
      </c>
      <c r="O9" s="60">
        <f ca="1">VLOOKUP(A9,INDIRECT('LOCCS Import'!$P$3&amp;"$A$3"):INDIRECT('LOCCS Import'!$P$3&amp;"$O$54"),7,)</f>
        <v>2.5299999999999998</v>
      </c>
      <c r="P9" s="60">
        <f ca="1">VLOOKUP(A9,INDIRECT('LOCCS Import'!$O$3&amp;"$A$3"):INDIRECT('LOCCS Import'!$O$3&amp;"$O$54"),7,)</f>
        <v>2.41</v>
      </c>
      <c r="Q9" s="60">
        <f ca="1">VLOOKUP(A9,INDIRECT('LOCCS Import'!$N$3&amp;"$A$3"):INDIRECT('LOCCS Import'!$N$3&amp;"$O$54"),7,)</f>
        <v>2.34</v>
      </c>
      <c r="R9" s="60">
        <f ca="1">VLOOKUP(A9,INDIRECT('LOCCS Import'!$M$3&amp;"$A$3"):INDIRECT('LOCCS Import'!$M$3&amp;"$O$54"),7,)</f>
        <v>3.33</v>
      </c>
      <c r="S9" s="60">
        <f ca="1">VLOOKUP(A9,INDIRECT('LOCCS Import'!$L$3&amp;"$A$3"):INDIRECT('LOCCS Import'!$L$3&amp;"$O$54"),7,)</f>
        <v>3.18</v>
      </c>
      <c r="T9" s="60">
        <f ca="1">VLOOKUP(A9,INDIRECT('LOCCS Import'!$K$3&amp;"$A$3"):INDIRECT('LOCCS Import'!$K$3&amp;"$O$54"),7,)</f>
        <v>3.18</v>
      </c>
      <c r="U9" s="60">
        <f ca="1">VLOOKUP(A9,INDIRECT('LOCCS Import'!$J$3&amp;"$A$3"):INDIRECT('LOCCS Import'!$J$3&amp;"$O$54"),7,)</f>
        <v>3.18</v>
      </c>
      <c r="V9" s="60">
        <f ca="1">VLOOKUP(A9,INDIRECT('LOCCS Import'!$I$3&amp;"$A$3"):INDIRECT('LOCCS Import'!$I$3&amp;"$O$54"),7,)</f>
        <v>2.85</v>
      </c>
      <c r="W9" s="60">
        <f ca="1">VLOOKUP(A9,INDIRECT('LOCCS Import'!$H$3&amp;"$A$3"):INDIRECT('LOCCS Import'!$H$3&amp;"$O$54"),7,)</f>
        <v>2.85</v>
      </c>
      <c r="X9" s="60">
        <f ca="1">VLOOKUP(A9,INDIRECT('LOCCS Import'!$G$3&amp;"$A$3"):INDIRECT('LOCCS Import'!$G$3&amp;"$O$54"),7,)</f>
        <v>2.67</v>
      </c>
      <c r="Y9" s="60">
        <f ca="1">VLOOKUP(A9,INDIRECT('LOCCS Import'!$F$3&amp;"$A$3"):INDIRECT('LOCCS Import'!$F$3&amp;"$O$54"),7,)</f>
        <v>2.66</v>
      </c>
      <c r="Z9" s="60">
        <f ca="1">VLOOKUP(A9,INDIRECT('LOCCS Import'!$E$3&amp;"$A$3"):INDIRECT('LOCCS Import'!$E$3&amp;"$O$54"),7,)</f>
        <v>2.66</v>
      </c>
      <c r="AA9" s="60">
        <f>VLOOKUP(A9,template!$A$3:$P$54,7,)</f>
        <v>3.58</v>
      </c>
      <c r="AB9" s="58">
        <f t="shared" ca="1" si="0"/>
        <v>3.58</v>
      </c>
      <c r="AC9" s="60">
        <f t="shared" ca="1" si="1"/>
        <v>2.34</v>
      </c>
      <c r="AD9" s="61">
        <f t="shared" ca="1" si="2"/>
        <v>2.9075000000000002</v>
      </c>
      <c r="AE9" s="84">
        <f t="shared" ca="1" si="3"/>
        <v>22</v>
      </c>
      <c r="AF9" s="138"/>
      <c r="AG9" s="3">
        <f ca="1">VLOOKUP(A9,INDIRECT('LOCCS Import'!$AA$3&amp;"$A$3"):INDIRECT('LOCCS Import'!$AA$3&amp;"$O$54"),8,)</f>
        <v>1.26</v>
      </c>
      <c r="AH9" s="1">
        <f ca="1">VLOOKUP(A9,INDIRECT('LOCCS Import'!$Z$3&amp;"$A$3"):INDIRECT('LOCCS Import'!$Z$3&amp;"$O$54"),8,)</f>
        <v>1.1599999999999999</v>
      </c>
      <c r="AI9" s="1">
        <f ca="1">VLOOKUP(A9,INDIRECT('LOCCS Import'!$Y$3&amp;"$A$3"):INDIRECT('LOCCS Import'!$Y$3&amp;"$O$54"),8,)</f>
        <v>1.19</v>
      </c>
      <c r="AJ9" s="1">
        <f ca="1">VLOOKUP(A9,INDIRECT('LOCCS Import'!$X$3&amp;"$A$3"):INDIRECT('LOCCS Import'!$X$3&amp;"$O$54"),8,)</f>
        <v>1.19</v>
      </c>
      <c r="AK9" s="1">
        <f ca="1">VLOOKUP(A9,INDIRECT('LOCCS Import'!$W$3&amp;"$A$3"):INDIRECT('LOCCS Import'!$W$3&amp;"$O$54"),8,)</f>
        <v>1.56</v>
      </c>
      <c r="AL9" s="1">
        <f ca="1">VLOOKUP(A9,INDIRECT('LOCCS Import'!$V$3&amp;"$A$3"):INDIRECT('LOCCS Import'!$V$3&amp;"$O$54"),8,)</f>
        <v>1.56</v>
      </c>
      <c r="AM9" s="1">
        <f ca="1">VLOOKUP(A9,INDIRECT('LOCCS Import'!$U$3&amp;"$A$3"):INDIRECT('LOCCS Import'!$U$3&amp;"$O$54"),8,)</f>
        <v>1.56</v>
      </c>
      <c r="AN9" s="1">
        <f ca="1">VLOOKUP(A9,INDIRECT('LOCCS Import'!$T$3&amp;"$A$3"):INDIRECT('LOCCS Import'!$T$3&amp;"$O$54"),8,)</f>
        <v>1.34</v>
      </c>
      <c r="AO9" s="1">
        <f ca="1">VLOOKUP(A9,INDIRECT('LOCCS Import'!$S$3&amp;"$A$3"):INDIRECT('LOCCS Import'!$S$3&amp;"$O$54"),8,)</f>
        <v>1.05</v>
      </c>
      <c r="AP9" s="1">
        <f ca="1">VLOOKUP(A9,INDIRECT('LOCCS Import'!$R$3&amp;"$A$3"):INDIRECT('LOCCS Import'!$R$3&amp;"$O$54"),8,)</f>
        <v>1.08</v>
      </c>
      <c r="AQ9" s="1">
        <f ca="1">VLOOKUP(A9,INDIRECT('LOCCS Import'!$Q$3&amp;"$A$3"):INDIRECT('LOCCS Import'!$Q$3&amp;"$O$54"),8,)</f>
        <v>1.0900000000000001</v>
      </c>
      <c r="AR9" s="1">
        <f ca="1">VLOOKUP(A9,INDIRECT('LOCCS Import'!$P$3&amp;"$A$3"):INDIRECT('LOCCS Import'!$P$3&amp;"$O$54"),8,)</f>
        <v>1.0900000000000001</v>
      </c>
      <c r="AS9" s="1">
        <f ca="1">VLOOKUP(A9,INDIRECT('LOCCS Import'!$O$3&amp;"$A$3"):INDIRECT('LOCCS Import'!$O$3&amp;"$O$54"),8,)</f>
        <v>0.91</v>
      </c>
      <c r="AT9" s="1">
        <f ca="1">VLOOKUP(A9,INDIRECT('LOCCS Import'!$N$3&amp;"$A$3"):INDIRECT('LOCCS Import'!$N$3&amp;"$O$54"),8,)</f>
        <v>0.99</v>
      </c>
      <c r="AU9" s="1">
        <f ca="1">VLOOKUP(A9,INDIRECT('LOCCS Import'!$M$3&amp;"$A$3"):INDIRECT('LOCCS Import'!$M$3&amp;"$O$54"),8,)</f>
        <v>0.78</v>
      </c>
      <c r="AV9" s="1">
        <f ca="1">VLOOKUP(A9,INDIRECT('LOCCS Import'!$L$3&amp;"$A$3"):INDIRECT('LOCCS Import'!$L$3&amp;"$O$54"),8,)</f>
        <v>0.93</v>
      </c>
      <c r="AW9" s="1">
        <f ca="1">VLOOKUP(A9,INDIRECT('LOCCS Import'!$K$3&amp;"$A$3"):INDIRECT('LOCCS Import'!$K$3&amp;"$O$54"),8,)</f>
        <v>0.56000000000000005</v>
      </c>
      <c r="AX9" s="1">
        <f ca="1">VLOOKUP(A9,INDIRECT('LOCCS Import'!$J$3&amp;"$A$3"):INDIRECT('LOCCS Import'!$J$3&amp;"$O$54"),8,)</f>
        <v>0.56000000000000005</v>
      </c>
      <c r="AY9" s="1">
        <f ca="1">VLOOKUP(A9,INDIRECT('LOCCS Import'!$I$3&amp;"$A$3"):INDIRECT('LOCCS Import'!$I$3&amp;"$O$54"),8,)</f>
        <v>0.88</v>
      </c>
      <c r="AZ9" s="1">
        <f ca="1">VLOOKUP(A9,INDIRECT('LOCCS Import'!$H$3&amp;"$A$3"):INDIRECT('LOCCS Import'!$H$3&amp;"$O$54"),8,)</f>
        <v>0.88</v>
      </c>
      <c r="BA9" s="1">
        <f ca="1">VLOOKUP(A9,INDIRECT('LOCCS Import'!$G$3&amp;"$A$3"):INDIRECT('LOCCS Import'!$G$3&amp;"$O$54"),8,)</f>
        <v>0.75</v>
      </c>
      <c r="BB9" s="1">
        <f ca="1">VLOOKUP(A9,INDIRECT('LOCCS Import'!$F$3&amp;"$A$3"):INDIRECT('LOCCS Import'!$F$3&amp;"$O$54"),8,)</f>
        <v>0.91</v>
      </c>
      <c r="BC9" s="1">
        <f ca="1">VLOOKUP(A9,INDIRECT('LOCCS Import'!$E$3&amp;"$A$3"):INDIRECT('LOCCS Import'!$E$3&amp;"$O$54"),8,)</f>
        <v>0.86</v>
      </c>
      <c r="BD9" s="2">
        <f>VLOOKUP(A9,template!$A$3:$P$54,8,)</f>
        <v>0.86</v>
      </c>
      <c r="BE9" s="2">
        <f t="shared" ca="1" si="4"/>
        <v>0.8224999999999999</v>
      </c>
      <c r="BF9" s="115">
        <f t="shared" ca="1" si="5"/>
        <v>38</v>
      </c>
    </row>
    <row r="10" spans="1:58" x14ac:dyDescent="0.3">
      <c r="A10" s="67" t="s">
        <v>22</v>
      </c>
      <c r="B10" s="64" t="s">
        <v>73</v>
      </c>
      <c r="C10" s="64" t="s">
        <v>89</v>
      </c>
      <c r="D10" s="60">
        <f ca="1">VLOOKUP(A10,INDIRECT('LOCCS Import'!$AA$3&amp;"$A$3"):INDIRECT('LOCCS Import'!$AA$3&amp;"$O$54"),7,)</f>
        <v>0.6</v>
      </c>
      <c r="E10" s="60">
        <f ca="1">VLOOKUP(A10,INDIRECT('LOCCS Import'!$Z$3&amp;"$A$3"):INDIRECT('LOCCS Import'!$Z$3&amp;"$O$54"),7,)</f>
        <v>0.48</v>
      </c>
      <c r="F10" s="60">
        <f ca="1">VLOOKUP(A10,INDIRECT('LOCCS Import'!$Y$3&amp;"$A$3"):INDIRECT('LOCCS Import'!$Y$3&amp;"$O$54"),7,)</f>
        <v>1.44</v>
      </c>
      <c r="G10" s="60">
        <f ca="1">VLOOKUP(A10,INDIRECT('LOCCS Import'!$X$3&amp;"$A$3"):INDIRECT('LOCCS Import'!$X$3&amp;"$O$54"),7,)</f>
        <v>1.35</v>
      </c>
      <c r="H10" s="60">
        <f ca="1">VLOOKUP(A10,INDIRECT('LOCCS Import'!$W$3&amp;"$A$3"):INDIRECT('LOCCS Import'!$W$3&amp;"$O$54"),7,)</f>
        <v>1.33</v>
      </c>
      <c r="I10" s="60">
        <f ca="1">VLOOKUP(A10,INDIRECT('LOCCS Import'!$V$3&amp;"$A$3"):INDIRECT('LOCCS Import'!$V$3&amp;"$O$54"),7,)</f>
        <v>1.32</v>
      </c>
      <c r="J10" s="60">
        <f ca="1">VLOOKUP(A10,INDIRECT('LOCCS Import'!$U$3&amp;"$A$3"):INDIRECT('LOCCS Import'!$U$3&amp;"$O$54"),7,)</f>
        <v>1.32</v>
      </c>
      <c r="K10" s="60">
        <f ca="1">VLOOKUP(A10,INDIRECT('LOCCS Import'!$T$3&amp;"$A$3"):INDIRECT('LOCCS Import'!$T$3&amp;"$O$54"),7,)</f>
        <v>1.17</v>
      </c>
      <c r="L10" s="60">
        <f ca="1">VLOOKUP(A10,INDIRECT('LOCCS Import'!$S$3&amp;"$A$3"):INDIRECT('LOCCS Import'!$S$3&amp;"$O$54"),7,)</f>
        <v>0.91</v>
      </c>
      <c r="M10" s="60">
        <f ca="1">VLOOKUP(A10,INDIRECT('LOCCS Import'!$R$3&amp;"$A$3"):INDIRECT('LOCCS Import'!$R$3&amp;"$O$54"),7,)</f>
        <v>0.83</v>
      </c>
      <c r="N10" s="60">
        <f ca="1">VLOOKUP(A10,INDIRECT('LOCCS Import'!$Q$3&amp;"$A$3"):INDIRECT('LOCCS Import'!$Q$3&amp;"$O$54"),7,)</f>
        <v>0.73</v>
      </c>
      <c r="O10" s="60">
        <f ca="1">VLOOKUP(A10,INDIRECT('LOCCS Import'!$P$3&amp;"$A$3"):INDIRECT('LOCCS Import'!$P$3&amp;"$O$54"),7,)</f>
        <v>0.68</v>
      </c>
      <c r="P10" s="60">
        <f ca="1">VLOOKUP(A10,INDIRECT('LOCCS Import'!$O$3&amp;"$A$3"):INDIRECT('LOCCS Import'!$O$3&amp;"$O$54"),7,)</f>
        <v>0.68</v>
      </c>
      <c r="Q10" s="60">
        <f ca="1">VLOOKUP(A10,INDIRECT('LOCCS Import'!$N$3&amp;"$A$3"):INDIRECT('LOCCS Import'!$N$3&amp;"$O$54"),7,)</f>
        <v>0.67</v>
      </c>
      <c r="R10" s="60">
        <f ca="1">VLOOKUP(A10,INDIRECT('LOCCS Import'!$M$3&amp;"$A$3"):INDIRECT('LOCCS Import'!$M$3&amp;"$O$54"),7,)</f>
        <v>0.46</v>
      </c>
      <c r="S10" s="60">
        <f ca="1">VLOOKUP(A10,INDIRECT('LOCCS Import'!$L$3&amp;"$A$3"):INDIRECT('LOCCS Import'!$L$3&amp;"$O$54"),7,)</f>
        <v>1.45</v>
      </c>
      <c r="T10" s="60">
        <f ca="1">VLOOKUP(A10,INDIRECT('LOCCS Import'!$K$3&amp;"$A$3"):INDIRECT('LOCCS Import'!$K$3&amp;"$O$54"),7,)</f>
        <v>1.35</v>
      </c>
      <c r="U10" s="60">
        <f ca="1">VLOOKUP(A10,INDIRECT('LOCCS Import'!$J$3&amp;"$A$3"):INDIRECT('LOCCS Import'!$J$3&amp;"$O$54"),7,)</f>
        <v>1.35</v>
      </c>
      <c r="V10" s="60">
        <f ca="1">VLOOKUP(A10,INDIRECT('LOCCS Import'!$I$3&amp;"$A$3"):INDIRECT('LOCCS Import'!$I$3&amp;"$O$54"),7,)</f>
        <v>1.33</v>
      </c>
      <c r="W10" s="60">
        <f ca="1">VLOOKUP(A10,INDIRECT('LOCCS Import'!$H$3&amp;"$A$3"):INDIRECT('LOCCS Import'!$H$3&amp;"$O$54"),7,)</f>
        <v>1.33</v>
      </c>
      <c r="X10" s="60">
        <f ca="1">VLOOKUP(A10,INDIRECT('LOCCS Import'!$G$3&amp;"$A$3"):INDIRECT('LOCCS Import'!$G$3&amp;"$O$54"),7,)</f>
        <v>1.33</v>
      </c>
      <c r="Y10" s="60">
        <f ca="1">VLOOKUP(A10,INDIRECT('LOCCS Import'!$F$3&amp;"$A$3"):INDIRECT('LOCCS Import'!$F$3&amp;"$O$54"),7,)</f>
        <v>1.24</v>
      </c>
      <c r="Z10" s="60">
        <f ca="1">VLOOKUP(A10,INDIRECT('LOCCS Import'!$E$3&amp;"$A$3"):INDIRECT('LOCCS Import'!$E$3&amp;"$O$54"),7,)</f>
        <v>1.23</v>
      </c>
      <c r="AA10" s="60">
        <f>VLOOKUP(A10,template!$A$3:$P$54,7,)</f>
        <v>2.0699999999999998</v>
      </c>
      <c r="AB10" s="58">
        <f t="shared" ca="1" si="0"/>
        <v>2.0699999999999998</v>
      </c>
      <c r="AC10" s="60">
        <f t="shared" ca="1" si="1"/>
        <v>0.46</v>
      </c>
      <c r="AD10" s="61">
        <f t="shared" ca="1" si="2"/>
        <v>1.2075</v>
      </c>
      <c r="AE10" s="84">
        <f t="shared" ca="1" si="3"/>
        <v>1</v>
      </c>
      <c r="AF10" s="138"/>
      <c r="AG10" s="3">
        <f ca="1">VLOOKUP(A10,INDIRECT('LOCCS Import'!$AA$3&amp;"$A$3"):INDIRECT('LOCCS Import'!$AA$3&amp;"$O$54"),8,)</f>
        <v>0.92</v>
      </c>
      <c r="AH10" s="1">
        <f ca="1">VLOOKUP(A10,INDIRECT('LOCCS Import'!$Z$3&amp;"$A$3"):INDIRECT('LOCCS Import'!$Z$3&amp;"$O$54"),8,)</f>
        <v>0.92</v>
      </c>
      <c r="AI10" s="1">
        <f ca="1">VLOOKUP(A10,INDIRECT('LOCCS Import'!$Y$3&amp;"$A$3"):INDIRECT('LOCCS Import'!$Y$3&amp;"$O$54"),8,)</f>
        <v>0.92</v>
      </c>
      <c r="AJ10" s="1">
        <f ca="1">VLOOKUP(A10,INDIRECT('LOCCS Import'!$X$3&amp;"$A$3"):INDIRECT('LOCCS Import'!$X$3&amp;"$O$54"),8,)</f>
        <v>0.98</v>
      </c>
      <c r="AK10" s="1">
        <f ca="1">VLOOKUP(A10,INDIRECT('LOCCS Import'!$W$3&amp;"$A$3"):INDIRECT('LOCCS Import'!$W$3&amp;"$O$54"),8,)</f>
        <v>0.77</v>
      </c>
      <c r="AL10" s="1">
        <f ca="1">VLOOKUP(A10,INDIRECT('LOCCS Import'!$V$3&amp;"$A$3"):INDIRECT('LOCCS Import'!$V$3&amp;"$O$54"),8,)</f>
        <v>0.68</v>
      </c>
      <c r="AM10" s="1">
        <f ca="1">VLOOKUP(A10,INDIRECT('LOCCS Import'!$U$3&amp;"$A$3"):INDIRECT('LOCCS Import'!$U$3&amp;"$O$54"),8,)</f>
        <v>0.68</v>
      </c>
      <c r="AN10" s="1">
        <f ca="1">VLOOKUP(A10,INDIRECT('LOCCS Import'!$T$3&amp;"$A$3"):INDIRECT('LOCCS Import'!$T$3&amp;"$O$54"),8,)</f>
        <v>0.65</v>
      </c>
      <c r="AO10" s="1">
        <f ca="1">VLOOKUP(A10,INDIRECT('LOCCS Import'!$S$3&amp;"$A$3"):INDIRECT('LOCCS Import'!$S$3&amp;"$O$54"),8,)</f>
        <v>0.89</v>
      </c>
      <c r="AP10" s="1">
        <f ca="1">VLOOKUP(A10,INDIRECT('LOCCS Import'!$R$3&amp;"$A$3"):INDIRECT('LOCCS Import'!$R$3&amp;"$O$54"),8,)</f>
        <v>0.93</v>
      </c>
      <c r="AQ10" s="1">
        <f ca="1">VLOOKUP(A10,INDIRECT('LOCCS Import'!$Q$3&amp;"$A$3"):INDIRECT('LOCCS Import'!$Q$3&amp;"$O$54"),8,)</f>
        <v>1.03</v>
      </c>
      <c r="AR10" s="1">
        <f ca="1">VLOOKUP(A10,INDIRECT('LOCCS Import'!$P$3&amp;"$A$3"):INDIRECT('LOCCS Import'!$P$3&amp;"$O$54"),8,)</f>
        <v>0.95</v>
      </c>
      <c r="AS10" s="1">
        <f ca="1">VLOOKUP(A10,INDIRECT('LOCCS Import'!$O$3&amp;"$A$3"):INDIRECT('LOCCS Import'!$O$3&amp;"$O$54"),8,)</f>
        <v>0.9</v>
      </c>
      <c r="AT10" s="1">
        <f ca="1">VLOOKUP(A10,INDIRECT('LOCCS Import'!$N$3&amp;"$A$3"):INDIRECT('LOCCS Import'!$N$3&amp;"$O$54"),8,)</f>
        <v>0.8</v>
      </c>
      <c r="AU10" s="1">
        <f ca="1">VLOOKUP(A10,INDIRECT('LOCCS Import'!$M$3&amp;"$A$3"):INDIRECT('LOCCS Import'!$M$3&amp;"$O$54"),8,)</f>
        <v>0.98</v>
      </c>
      <c r="AV10" s="1">
        <f ca="1">VLOOKUP(A10,INDIRECT('LOCCS Import'!$L$3&amp;"$A$3"):INDIRECT('LOCCS Import'!$L$3&amp;"$O$54"),8,)</f>
        <v>0.89</v>
      </c>
      <c r="AW10" s="1">
        <f ca="1">VLOOKUP(A10,INDIRECT('LOCCS Import'!$K$3&amp;"$A$3"):INDIRECT('LOCCS Import'!$K$3&amp;"$O$54"),8,)</f>
        <v>0.97</v>
      </c>
      <c r="AX10" s="1">
        <f ca="1">VLOOKUP(A10,INDIRECT('LOCCS Import'!$J$3&amp;"$A$3"):INDIRECT('LOCCS Import'!$J$3&amp;"$O$54"),8,)</f>
        <v>0.96</v>
      </c>
      <c r="AY10" s="1">
        <f ca="1">VLOOKUP(A10,INDIRECT('LOCCS Import'!$I$3&amp;"$A$3"):INDIRECT('LOCCS Import'!$I$3&amp;"$O$54"),8,)</f>
        <v>0.96</v>
      </c>
      <c r="AZ10" s="1">
        <f ca="1">VLOOKUP(A10,INDIRECT('LOCCS Import'!$H$3&amp;"$A$3"):INDIRECT('LOCCS Import'!$H$3&amp;"$O$54"),8,)</f>
        <v>0.83</v>
      </c>
      <c r="BA10" s="1">
        <f ca="1">VLOOKUP(A10,INDIRECT('LOCCS Import'!$G$3&amp;"$A$3"):INDIRECT('LOCCS Import'!$G$3&amp;"$O$54"),8,)</f>
        <v>0.57999999999999996</v>
      </c>
      <c r="BB10" s="1">
        <f ca="1">VLOOKUP(A10,INDIRECT('LOCCS Import'!$F$3&amp;"$A$3"):INDIRECT('LOCCS Import'!$F$3&amp;"$O$54"),8,)</f>
        <v>0.59</v>
      </c>
      <c r="BC10" s="1">
        <f ca="1">VLOOKUP(A10,INDIRECT('LOCCS Import'!$E$3&amp;"$A$3"):INDIRECT('LOCCS Import'!$E$3&amp;"$O$54"),8,)</f>
        <v>0.49</v>
      </c>
      <c r="BD10" s="2">
        <f>VLOOKUP(A10,template!$A$3:$P$54,8,)</f>
        <v>0.59</v>
      </c>
      <c r="BE10" s="2">
        <f t="shared" ca="1" si="4"/>
        <v>0.79500000000000004</v>
      </c>
      <c r="BF10" s="115">
        <f t="shared" ca="1" si="5"/>
        <v>44</v>
      </c>
    </row>
    <row r="11" spans="1:58" x14ac:dyDescent="0.3">
      <c r="A11" s="67" t="s">
        <v>23</v>
      </c>
      <c r="B11" s="64" t="s">
        <v>73</v>
      </c>
      <c r="C11" s="64" t="s">
        <v>90</v>
      </c>
      <c r="D11" s="60">
        <f ca="1">VLOOKUP(A11,INDIRECT('LOCCS Import'!$AA$3&amp;"$A$3"):INDIRECT('LOCCS Import'!$AA$3&amp;"$O$54"),7,)</f>
        <v>5.1100000000000003</v>
      </c>
      <c r="E11" s="60">
        <f ca="1">VLOOKUP(A11,INDIRECT('LOCCS Import'!$Z$3&amp;"$A$3"):INDIRECT('LOCCS Import'!$Z$3&amp;"$O$54"),7,)</f>
        <v>5.09</v>
      </c>
      <c r="F11" s="60">
        <f ca="1">VLOOKUP(A11,INDIRECT('LOCCS Import'!$Y$3&amp;"$A$3"):INDIRECT('LOCCS Import'!$Y$3&amp;"$O$54"),7,)</f>
        <v>6.33</v>
      </c>
      <c r="G11" s="60">
        <f ca="1">VLOOKUP(A11,INDIRECT('LOCCS Import'!$X$3&amp;"$A$3"):INDIRECT('LOCCS Import'!$X$3&amp;"$O$54"),7,)</f>
        <v>6.3</v>
      </c>
      <c r="H11" s="60">
        <f ca="1">VLOOKUP(A11,INDIRECT('LOCCS Import'!$W$3&amp;"$A$3"):INDIRECT('LOCCS Import'!$W$3&amp;"$O$54"),7,)</f>
        <v>6.25</v>
      </c>
      <c r="I11" s="60">
        <f ca="1">VLOOKUP(A11,INDIRECT('LOCCS Import'!$V$3&amp;"$A$3"):INDIRECT('LOCCS Import'!$V$3&amp;"$O$54"),7,)</f>
        <v>6.24</v>
      </c>
      <c r="J11" s="60">
        <f ca="1">VLOOKUP(A11,INDIRECT('LOCCS Import'!$U$3&amp;"$A$3"):INDIRECT('LOCCS Import'!$U$3&amp;"$O$54"),7,)</f>
        <v>6.24</v>
      </c>
      <c r="K11" s="60">
        <f ca="1">VLOOKUP(A11,INDIRECT('LOCCS Import'!$T$3&amp;"$A$3"):INDIRECT('LOCCS Import'!$T$3&amp;"$O$54"),7,)</f>
        <v>6.17</v>
      </c>
      <c r="L11" s="60">
        <f ca="1">VLOOKUP(A11,INDIRECT('LOCCS Import'!$S$3&amp;"$A$3"):INDIRECT('LOCCS Import'!$S$3&amp;"$O$54"),7,)</f>
        <v>6.1</v>
      </c>
      <c r="M11" s="60">
        <f ca="1">VLOOKUP(A11,INDIRECT('LOCCS Import'!$R$3&amp;"$A$3"):INDIRECT('LOCCS Import'!$R$3&amp;"$O$54"),7,)</f>
        <v>6.07</v>
      </c>
      <c r="N11" s="60">
        <f ca="1">VLOOKUP(A11,INDIRECT('LOCCS Import'!$Q$3&amp;"$A$3"):INDIRECT('LOCCS Import'!$Q$3&amp;"$O$54"),7,)</f>
        <v>5.97</v>
      </c>
      <c r="O11" s="60">
        <f ca="1">VLOOKUP(A11,INDIRECT('LOCCS Import'!$P$3&amp;"$A$3"):INDIRECT('LOCCS Import'!$P$3&amp;"$O$54"),7,)</f>
        <v>5.33</v>
      </c>
      <c r="P11" s="60">
        <f ca="1">VLOOKUP(A11,INDIRECT('LOCCS Import'!$O$3&amp;"$A$3"):INDIRECT('LOCCS Import'!$O$3&amp;"$O$54"),7,)</f>
        <v>5.3</v>
      </c>
      <c r="Q11" s="60">
        <f ca="1">VLOOKUP(A11,INDIRECT('LOCCS Import'!$N$3&amp;"$A$3"):INDIRECT('LOCCS Import'!$N$3&amp;"$O$54"),7,)</f>
        <v>5.25</v>
      </c>
      <c r="R11" s="60">
        <f ca="1">VLOOKUP(A11,INDIRECT('LOCCS Import'!$M$3&amp;"$A$3"):INDIRECT('LOCCS Import'!$M$3&amp;"$O$54"),7,)</f>
        <v>5.25</v>
      </c>
      <c r="S11" s="60">
        <f ca="1">VLOOKUP(A11,INDIRECT('LOCCS Import'!$L$3&amp;"$A$3"):INDIRECT('LOCCS Import'!$L$3&amp;"$O$54"),7,)</f>
        <v>6.28</v>
      </c>
      <c r="T11" s="60">
        <f ca="1">VLOOKUP(A11,INDIRECT('LOCCS Import'!$K$3&amp;"$A$3"):INDIRECT('LOCCS Import'!$K$3&amp;"$O$54"),7,)</f>
        <v>6.27</v>
      </c>
      <c r="U11" s="60">
        <f ca="1">VLOOKUP(A11,INDIRECT('LOCCS Import'!$J$3&amp;"$A$3"):INDIRECT('LOCCS Import'!$J$3&amp;"$O$54"),7,)</f>
        <v>6.25</v>
      </c>
      <c r="V11" s="60">
        <f ca="1">VLOOKUP(A11,INDIRECT('LOCCS Import'!$I$3&amp;"$A$3"):INDIRECT('LOCCS Import'!$I$3&amp;"$O$54"),7,)</f>
        <v>6.22</v>
      </c>
      <c r="W11" s="60">
        <f ca="1">VLOOKUP(A11,INDIRECT('LOCCS Import'!$H$3&amp;"$A$3"):INDIRECT('LOCCS Import'!$H$3&amp;"$O$54"),7,)</f>
        <v>6.17</v>
      </c>
      <c r="X11" s="60">
        <f ca="1">VLOOKUP(A11,INDIRECT('LOCCS Import'!$G$3&amp;"$A$3"):INDIRECT('LOCCS Import'!$G$3&amp;"$O$54"),7,)</f>
        <v>5.97</v>
      </c>
      <c r="Y11" s="60">
        <f ca="1">VLOOKUP(A11,INDIRECT('LOCCS Import'!$F$3&amp;"$A$3"):INDIRECT('LOCCS Import'!$F$3&amp;"$O$54"),7,)</f>
        <v>5.95</v>
      </c>
      <c r="Z11" s="60">
        <f ca="1">VLOOKUP(A11,INDIRECT('LOCCS Import'!$E$3&amp;"$A$3"):INDIRECT('LOCCS Import'!$E$3&amp;"$O$54"),7,)</f>
        <v>5.62</v>
      </c>
      <c r="AA11" s="60">
        <f>VLOOKUP(A11,template!$A$3:$P$54,7,)</f>
        <v>5.41</v>
      </c>
      <c r="AB11" s="58">
        <f t="shared" ca="1" si="0"/>
        <v>6.28</v>
      </c>
      <c r="AC11" s="60">
        <f t="shared" ca="1" si="1"/>
        <v>5.25</v>
      </c>
      <c r="AD11" s="61">
        <f t="shared" ca="1" si="2"/>
        <v>5.8283333333333331</v>
      </c>
      <c r="AE11" s="84">
        <f t="shared" ca="1" si="3"/>
        <v>50</v>
      </c>
      <c r="AF11" s="138"/>
      <c r="AG11" s="3">
        <f ca="1">VLOOKUP(A11,INDIRECT('LOCCS Import'!$AA$3&amp;"$A$3"):INDIRECT('LOCCS Import'!$AA$3&amp;"$O$54"),8,)</f>
        <v>0.44</v>
      </c>
      <c r="AH11" s="1">
        <f ca="1">VLOOKUP(A11,INDIRECT('LOCCS Import'!$Z$3&amp;"$A$3"):INDIRECT('LOCCS Import'!$Z$3&amp;"$O$54"),8,)</f>
        <v>0.44</v>
      </c>
      <c r="AI11" s="1">
        <f ca="1">VLOOKUP(A11,INDIRECT('LOCCS Import'!$Y$3&amp;"$A$3"):INDIRECT('LOCCS Import'!$Y$3&amp;"$O$54"),8,)</f>
        <v>0.49</v>
      </c>
      <c r="AJ11" s="1">
        <f ca="1">VLOOKUP(A11,INDIRECT('LOCCS Import'!$X$3&amp;"$A$3"):INDIRECT('LOCCS Import'!$X$3&amp;"$O$54"),8,)</f>
        <v>0.51</v>
      </c>
      <c r="AK11" s="1">
        <f ca="1">VLOOKUP(A11,INDIRECT('LOCCS Import'!$W$3&amp;"$A$3"):INDIRECT('LOCCS Import'!$W$3&amp;"$O$54"),8,)</f>
        <v>0.54</v>
      </c>
      <c r="AL11" s="1">
        <f ca="1">VLOOKUP(A11,INDIRECT('LOCCS Import'!$V$3&amp;"$A$3"):INDIRECT('LOCCS Import'!$V$3&amp;"$O$54"),8,)</f>
        <v>0.51</v>
      </c>
      <c r="AM11" s="1">
        <f ca="1">VLOOKUP(A11,INDIRECT('LOCCS Import'!$U$3&amp;"$A$3"):INDIRECT('LOCCS Import'!$U$3&amp;"$O$54"),8,)</f>
        <v>0.51</v>
      </c>
      <c r="AN11" s="1">
        <f ca="1">VLOOKUP(A11,INDIRECT('LOCCS Import'!$T$3&amp;"$A$3"):INDIRECT('LOCCS Import'!$T$3&amp;"$O$54"),8,)</f>
        <v>0.5</v>
      </c>
      <c r="AO11" s="1">
        <f ca="1">VLOOKUP(A11,INDIRECT('LOCCS Import'!$S$3&amp;"$A$3"):INDIRECT('LOCCS Import'!$S$3&amp;"$O$54"),8,)</f>
        <v>0.53</v>
      </c>
      <c r="AP11" s="1">
        <f ca="1">VLOOKUP(A11,INDIRECT('LOCCS Import'!$R$3&amp;"$A$3"):INDIRECT('LOCCS Import'!$R$3&amp;"$O$54"),8,)</f>
        <v>0.51</v>
      </c>
      <c r="AQ11" s="1">
        <f ca="1">VLOOKUP(A11,INDIRECT('LOCCS Import'!$Q$3&amp;"$A$3"):INDIRECT('LOCCS Import'!$Q$3&amp;"$O$54"),8,)</f>
        <v>0.59</v>
      </c>
      <c r="AR11" s="1">
        <f ca="1">VLOOKUP(A11,INDIRECT('LOCCS Import'!$P$3&amp;"$A$3"):INDIRECT('LOCCS Import'!$P$3&amp;"$O$54"),8,)</f>
        <v>0.97</v>
      </c>
      <c r="AS11" s="1">
        <f ca="1">VLOOKUP(A11,INDIRECT('LOCCS Import'!$O$3&amp;"$A$3"):INDIRECT('LOCCS Import'!$O$3&amp;"$O$54"),8,)</f>
        <v>0.99</v>
      </c>
      <c r="AT11" s="1">
        <f ca="1">VLOOKUP(A11,INDIRECT('LOCCS Import'!$N$3&amp;"$A$3"):INDIRECT('LOCCS Import'!$N$3&amp;"$O$54"),8,)</f>
        <v>1.02</v>
      </c>
      <c r="AU11" s="1">
        <f ca="1">VLOOKUP(A11,INDIRECT('LOCCS Import'!$M$3&amp;"$A$3"):INDIRECT('LOCCS Import'!$M$3&amp;"$O$54"),8,)</f>
        <v>0.98</v>
      </c>
      <c r="AV11" s="1">
        <f ca="1">VLOOKUP(A11,INDIRECT('LOCCS Import'!$L$3&amp;"$A$3"):INDIRECT('LOCCS Import'!$L$3&amp;"$O$54"),8,)</f>
        <v>0.96</v>
      </c>
      <c r="AW11" s="1">
        <f ca="1">VLOOKUP(A11,INDIRECT('LOCCS Import'!$K$3&amp;"$A$3"):INDIRECT('LOCCS Import'!$K$3&amp;"$O$54"),8,)</f>
        <v>0.93</v>
      </c>
      <c r="AX11" s="1">
        <f ca="1">VLOOKUP(A11,INDIRECT('LOCCS Import'!$J$3&amp;"$A$3"):INDIRECT('LOCCS Import'!$J$3&amp;"$O$54"),8,)</f>
        <v>0.93</v>
      </c>
      <c r="AY11" s="1">
        <f ca="1">VLOOKUP(A11,INDIRECT('LOCCS Import'!$I$3&amp;"$A$3"):INDIRECT('LOCCS Import'!$I$3&amp;"$O$54"),8,)</f>
        <v>0.93</v>
      </c>
      <c r="AZ11" s="1">
        <f ca="1">VLOOKUP(A11,INDIRECT('LOCCS Import'!$H$3&amp;"$A$3"):INDIRECT('LOCCS Import'!$H$3&amp;"$O$54"),8,)</f>
        <v>0.94</v>
      </c>
      <c r="BA11" s="1">
        <f ca="1">VLOOKUP(A11,INDIRECT('LOCCS Import'!$G$3&amp;"$A$3"):INDIRECT('LOCCS Import'!$G$3&amp;"$O$54"),8,)</f>
        <v>1.07</v>
      </c>
      <c r="BB11" s="1">
        <f ca="1">VLOOKUP(A11,INDIRECT('LOCCS Import'!$F$3&amp;"$A$3"):INDIRECT('LOCCS Import'!$F$3&amp;"$O$54"),8,)</f>
        <v>1.06</v>
      </c>
      <c r="BC11" s="1">
        <f ca="1">VLOOKUP(A11,INDIRECT('LOCCS Import'!$E$3&amp;"$A$3"):INDIRECT('LOCCS Import'!$E$3&amp;"$O$54"),8,)</f>
        <v>1.3</v>
      </c>
      <c r="BD11" s="2">
        <f>VLOOKUP(A11,template!$A$3:$P$54,8,)</f>
        <v>0.97</v>
      </c>
      <c r="BE11" s="2">
        <f t="shared" ca="1" si="4"/>
        <v>1.0066666666666668</v>
      </c>
      <c r="BF11" s="115">
        <f t="shared" ca="1" si="5"/>
        <v>16</v>
      </c>
    </row>
    <row r="12" spans="1:58" x14ac:dyDescent="0.3">
      <c r="A12" s="67" t="s">
        <v>24</v>
      </c>
      <c r="B12" s="64" t="s">
        <v>73</v>
      </c>
      <c r="C12" s="64" t="s">
        <v>91</v>
      </c>
      <c r="D12" s="60">
        <f ca="1">VLOOKUP(A12,INDIRECT('LOCCS Import'!$AA$3&amp;"$A$3"):INDIRECT('LOCCS Import'!$AA$3&amp;"$O$54"),7,)</f>
        <v>2.29</v>
      </c>
      <c r="E12" s="60">
        <f ca="1">VLOOKUP(A12,INDIRECT('LOCCS Import'!$Z$3&amp;"$A$3"):INDIRECT('LOCCS Import'!$Z$3&amp;"$O$54"),7,)</f>
        <v>2.2400000000000002</v>
      </c>
      <c r="F12" s="60">
        <f ca="1">VLOOKUP(A12,INDIRECT('LOCCS Import'!$Y$3&amp;"$A$3"):INDIRECT('LOCCS Import'!$Y$3&amp;"$O$54"),7,)</f>
        <v>3.19</v>
      </c>
      <c r="G12" s="60">
        <f ca="1">VLOOKUP(A12,INDIRECT('LOCCS Import'!$X$3&amp;"$A$3"):INDIRECT('LOCCS Import'!$X$3&amp;"$O$54"),7,)</f>
        <v>3.1</v>
      </c>
      <c r="H12" s="60">
        <f ca="1">VLOOKUP(A12,INDIRECT('LOCCS Import'!$W$3&amp;"$A$3"):INDIRECT('LOCCS Import'!$W$3&amp;"$O$54"),7,)</f>
        <v>3.01</v>
      </c>
      <c r="I12" s="60">
        <f ca="1">VLOOKUP(A12,INDIRECT('LOCCS Import'!$V$3&amp;"$A$3"):INDIRECT('LOCCS Import'!$V$3&amp;"$O$54"),7,)</f>
        <v>2.94</v>
      </c>
      <c r="J12" s="60">
        <f ca="1">VLOOKUP(A12,INDIRECT('LOCCS Import'!$U$3&amp;"$A$3"):INDIRECT('LOCCS Import'!$U$3&amp;"$O$54"),7,)</f>
        <v>2.94</v>
      </c>
      <c r="K12" s="60">
        <f ca="1">VLOOKUP(A12,INDIRECT('LOCCS Import'!$T$3&amp;"$A$3"):INDIRECT('LOCCS Import'!$T$3&amp;"$O$54"),7,)</f>
        <v>2.81</v>
      </c>
      <c r="L12" s="60">
        <f ca="1">VLOOKUP(A12,INDIRECT('LOCCS Import'!$S$3&amp;"$A$3"):INDIRECT('LOCCS Import'!$S$3&amp;"$O$54"),7,)</f>
        <v>2.71</v>
      </c>
      <c r="M12" s="60">
        <f ca="1">VLOOKUP(A12,INDIRECT('LOCCS Import'!$R$3&amp;"$A$3"):INDIRECT('LOCCS Import'!$R$3&amp;"$O$54"),7,)</f>
        <v>2.63</v>
      </c>
      <c r="N12" s="60">
        <f ca="1">VLOOKUP(A12,INDIRECT('LOCCS Import'!$Q$3&amp;"$A$3"):INDIRECT('LOCCS Import'!$Q$3&amp;"$O$54"),7,)</f>
        <v>2.5</v>
      </c>
      <c r="O12" s="60">
        <f ca="1">VLOOKUP(A12,INDIRECT('LOCCS Import'!$P$3&amp;"$A$3"):INDIRECT('LOCCS Import'!$P$3&amp;"$O$54"),7,)</f>
        <v>3.41</v>
      </c>
      <c r="P12" s="60">
        <f ca="1">VLOOKUP(A12,INDIRECT('LOCCS Import'!$O$3&amp;"$A$3"):INDIRECT('LOCCS Import'!$O$3&amp;"$O$54"),7,)</f>
        <v>3.32</v>
      </c>
      <c r="Q12" s="60">
        <f ca="1">VLOOKUP(A12,INDIRECT('LOCCS Import'!$N$3&amp;"$A$3"):INDIRECT('LOCCS Import'!$N$3&amp;"$O$54"),7,)</f>
        <v>3.29</v>
      </c>
      <c r="R12" s="60">
        <f ca="1">VLOOKUP(A12,INDIRECT('LOCCS Import'!$M$3&amp;"$A$3"):INDIRECT('LOCCS Import'!$M$3&amp;"$O$54"),7,)</f>
        <v>3.27</v>
      </c>
      <c r="S12" s="60">
        <f ca="1">VLOOKUP(A12,INDIRECT('LOCCS Import'!$L$3&amp;"$A$3"):INDIRECT('LOCCS Import'!$L$3&amp;"$O$54"),7,)</f>
        <v>3.22</v>
      </c>
      <c r="T12" s="60">
        <f ca="1">VLOOKUP(A12,INDIRECT('LOCCS Import'!$K$3&amp;"$A$3"):INDIRECT('LOCCS Import'!$K$3&amp;"$O$54"),7,)</f>
        <v>3.18</v>
      </c>
      <c r="U12" s="60">
        <f ca="1">VLOOKUP(A12,INDIRECT('LOCCS Import'!$J$3&amp;"$A$3"):INDIRECT('LOCCS Import'!$J$3&amp;"$O$54"),7,)</f>
        <v>3.15</v>
      </c>
      <c r="V12" s="60">
        <f ca="1">VLOOKUP(A12,INDIRECT('LOCCS Import'!$I$3&amp;"$A$3"):INDIRECT('LOCCS Import'!$I$3&amp;"$O$54"),7,)</f>
        <v>3.11</v>
      </c>
      <c r="W12" s="60">
        <f ca="1">VLOOKUP(A12,INDIRECT('LOCCS Import'!$H$3&amp;"$A$3"):INDIRECT('LOCCS Import'!$H$3&amp;"$O$54"),7,)</f>
        <v>3.05</v>
      </c>
      <c r="X12" s="60">
        <f ca="1">VLOOKUP(A12,INDIRECT('LOCCS Import'!$G$3&amp;"$A$3"):INDIRECT('LOCCS Import'!$G$3&amp;"$O$54"),7,)</f>
        <v>2.94</v>
      </c>
      <c r="Y12" s="60">
        <f ca="1">VLOOKUP(A12,INDIRECT('LOCCS Import'!$F$3&amp;"$A$3"):INDIRECT('LOCCS Import'!$F$3&amp;"$O$54"),7,)</f>
        <v>2.92</v>
      </c>
      <c r="Z12" s="60">
        <f ca="1">VLOOKUP(A12,INDIRECT('LOCCS Import'!$E$3&amp;"$A$3"):INDIRECT('LOCCS Import'!$E$3&amp;"$O$54"),7,)</f>
        <v>2.86</v>
      </c>
      <c r="AA12" s="60">
        <f>VLOOKUP(A12,template!$A$3:$P$54,7,)</f>
        <v>2.77</v>
      </c>
      <c r="AB12" s="58">
        <f t="shared" ca="1" si="0"/>
        <v>3.32</v>
      </c>
      <c r="AC12" s="60">
        <f t="shared" ca="1" si="1"/>
        <v>2.77</v>
      </c>
      <c r="AD12" s="61">
        <f t="shared" ca="1" si="2"/>
        <v>3.0900000000000003</v>
      </c>
      <c r="AE12" s="84">
        <f t="shared" ca="1" si="3"/>
        <v>25</v>
      </c>
      <c r="AF12" s="138"/>
      <c r="AG12" s="3">
        <f ca="1">VLOOKUP(A12,INDIRECT('LOCCS Import'!$AA$3&amp;"$A$3"):INDIRECT('LOCCS Import'!$AA$3&amp;"$O$54"),8,)</f>
        <v>0.92</v>
      </c>
      <c r="AH12" s="1">
        <f ca="1">VLOOKUP(A12,INDIRECT('LOCCS Import'!$Z$3&amp;"$A$3"):INDIRECT('LOCCS Import'!$Z$3&amp;"$O$54"),8,)</f>
        <v>0.91</v>
      </c>
      <c r="AI12" s="1">
        <f ca="1">VLOOKUP(A12,INDIRECT('LOCCS Import'!$Y$3&amp;"$A$3"):INDIRECT('LOCCS Import'!$Y$3&amp;"$O$54"),8,)</f>
        <v>0.92</v>
      </c>
      <c r="AJ12" s="1">
        <f ca="1">VLOOKUP(A12,INDIRECT('LOCCS Import'!$X$3&amp;"$A$3"):INDIRECT('LOCCS Import'!$X$3&amp;"$O$54"),8,)</f>
        <v>0.9</v>
      </c>
      <c r="AK12" s="1">
        <f ca="1">VLOOKUP(A12,INDIRECT('LOCCS Import'!$W$3&amp;"$A$3"):INDIRECT('LOCCS Import'!$W$3&amp;"$O$54"),8,)</f>
        <v>0.94</v>
      </c>
      <c r="AL12" s="1">
        <f ca="1">VLOOKUP(A12,INDIRECT('LOCCS Import'!$V$3&amp;"$A$3"):INDIRECT('LOCCS Import'!$V$3&amp;"$O$54"),8,)</f>
        <v>0.92</v>
      </c>
      <c r="AM12" s="1">
        <f ca="1">VLOOKUP(A12,INDIRECT('LOCCS Import'!$U$3&amp;"$A$3"):INDIRECT('LOCCS Import'!$U$3&amp;"$O$54"),8,)</f>
        <v>0.92</v>
      </c>
      <c r="AN12" s="1">
        <f ca="1">VLOOKUP(A12,INDIRECT('LOCCS Import'!$T$3&amp;"$A$3"):INDIRECT('LOCCS Import'!$T$3&amp;"$O$54"),8,)</f>
        <v>0.86</v>
      </c>
      <c r="AO12" s="1">
        <f ca="1">VLOOKUP(A12,INDIRECT('LOCCS Import'!$S$3&amp;"$A$3"):INDIRECT('LOCCS Import'!$S$3&amp;"$O$54"),8,)</f>
        <v>0.84</v>
      </c>
      <c r="AP12" s="1">
        <f ca="1">VLOOKUP(A12,INDIRECT('LOCCS Import'!$R$3&amp;"$A$3"):INDIRECT('LOCCS Import'!$R$3&amp;"$O$54"),8,)</f>
        <v>0.83</v>
      </c>
      <c r="AQ12" s="1">
        <f ca="1">VLOOKUP(A12,INDIRECT('LOCCS Import'!$Q$3&amp;"$A$3"):INDIRECT('LOCCS Import'!$Q$3&amp;"$O$54"),8,)</f>
        <v>0.88</v>
      </c>
      <c r="AR12" s="1">
        <f ca="1">VLOOKUP(A12,INDIRECT('LOCCS Import'!$P$3&amp;"$A$3"):INDIRECT('LOCCS Import'!$P$3&amp;"$O$54"),8,)</f>
        <v>0.95</v>
      </c>
      <c r="AS12" s="1">
        <f ca="1">VLOOKUP(A12,INDIRECT('LOCCS Import'!$O$3&amp;"$A$3"):INDIRECT('LOCCS Import'!$O$3&amp;"$O$54"),8,)</f>
        <v>0.98</v>
      </c>
      <c r="AT12" s="1">
        <f ca="1">VLOOKUP(A12,INDIRECT('LOCCS Import'!$N$3&amp;"$A$3"):INDIRECT('LOCCS Import'!$N$3&amp;"$O$54"),8,)</f>
        <v>0.98</v>
      </c>
      <c r="AU12" s="1">
        <f ca="1">VLOOKUP(A12,INDIRECT('LOCCS Import'!$M$3&amp;"$A$3"):INDIRECT('LOCCS Import'!$M$3&amp;"$O$54"),8,)</f>
        <v>0.93</v>
      </c>
      <c r="AV12" s="1">
        <f ca="1">VLOOKUP(A12,INDIRECT('LOCCS Import'!$L$3&amp;"$A$3"):INDIRECT('LOCCS Import'!$L$3&amp;"$O$54"),8,)</f>
        <v>0.89</v>
      </c>
      <c r="AW12" s="1">
        <f ca="1">VLOOKUP(A12,INDIRECT('LOCCS Import'!$K$3&amp;"$A$3"):INDIRECT('LOCCS Import'!$K$3&amp;"$O$54"),8,)</f>
        <v>0.83</v>
      </c>
      <c r="AX12" s="1">
        <f ca="1">VLOOKUP(A12,INDIRECT('LOCCS Import'!$J$3&amp;"$A$3"):INDIRECT('LOCCS Import'!$J$3&amp;"$O$54"),8,)</f>
        <v>0.78</v>
      </c>
      <c r="AY12" s="1">
        <f ca="1">VLOOKUP(A12,INDIRECT('LOCCS Import'!$I$3&amp;"$A$3"):INDIRECT('LOCCS Import'!$I$3&amp;"$O$54"),8,)</f>
        <v>0.76</v>
      </c>
      <c r="AZ12" s="1">
        <f ca="1">VLOOKUP(A12,INDIRECT('LOCCS Import'!$H$3&amp;"$A$3"):INDIRECT('LOCCS Import'!$H$3&amp;"$O$54"),8,)</f>
        <v>0.76</v>
      </c>
      <c r="BA12" s="1">
        <f ca="1">VLOOKUP(A12,INDIRECT('LOCCS Import'!$G$3&amp;"$A$3"):INDIRECT('LOCCS Import'!$G$3&amp;"$O$54"),8,)</f>
        <v>0.77</v>
      </c>
      <c r="BB12" s="1">
        <f ca="1">VLOOKUP(A12,INDIRECT('LOCCS Import'!$F$3&amp;"$A$3"):INDIRECT('LOCCS Import'!$F$3&amp;"$O$54"),8,)</f>
        <v>0.71</v>
      </c>
      <c r="BC12" s="1">
        <f ca="1">VLOOKUP(A12,INDIRECT('LOCCS Import'!$E$3&amp;"$A$3"):INDIRECT('LOCCS Import'!$E$3&amp;"$O$54"),8,)</f>
        <v>0.65</v>
      </c>
      <c r="BD12" s="2">
        <f>VLOOKUP(A12,template!$A$3:$P$54,8,)</f>
        <v>0.59</v>
      </c>
      <c r="BE12" s="2">
        <f t="shared" ca="1" si="4"/>
        <v>0.8025000000000001</v>
      </c>
      <c r="BF12" s="115">
        <f t="shared" ca="1" si="5"/>
        <v>42</v>
      </c>
    </row>
    <row r="13" spans="1:58" x14ac:dyDescent="0.3">
      <c r="A13" s="67" t="s">
        <v>25</v>
      </c>
      <c r="B13" s="64" t="s">
        <v>72</v>
      </c>
      <c r="C13" s="64" t="s">
        <v>92</v>
      </c>
      <c r="D13" s="60">
        <f ca="1">VLOOKUP(A13,INDIRECT('LOCCS Import'!$AA$3&amp;"$A$3"):INDIRECT('LOCCS Import'!$AA$3&amp;"$O$54"),7,)</f>
        <v>2.79</v>
      </c>
      <c r="E13" s="60">
        <f ca="1">VLOOKUP(A13,INDIRECT('LOCCS Import'!$Z$3&amp;"$A$3"):INDIRECT('LOCCS Import'!$Z$3&amp;"$O$54"),7,)</f>
        <v>2.72</v>
      </c>
      <c r="F13" s="60">
        <f ca="1">VLOOKUP(A13,INDIRECT('LOCCS Import'!$Y$3&amp;"$A$3"):INDIRECT('LOCCS Import'!$Y$3&amp;"$O$54"),7,)</f>
        <v>2.54</v>
      </c>
      <c r="G13" s="60">
        <f ca="1">VLOOKUP(A13,INDIRECT('LOCCS Import'!$X$3&amp;"$A$3"):INDIRECT('LOCCS Import'!$X$3&amp;"$O$54"),7,)</f>
        <v>2.4300000000000002</v>
      </c>
      <c r="H13" s="60">
        <f ca="1">VLOOKUP(A13,INDIRECT('LOCCS Import'!$W$3&amp;"$A$3"):INDIRECT('LOCCS Import'!$W$3&amp;"$O$54"),7,)</f>
        <v>2.36</v>
      </c>
      <c r="I13" s="60">
        <f ca="1">VLOOKUP(A13,INDIRECT('LOCCS Import'!$V$3&amp;"$A$3"):INDIRECT('LOCCS Import'!$V$3&amp;"$O$54"),7,)</f>
        <v>2.29</v>
      </c>
      <c r="J13" s="60">
        <f ca="1">VLOOKUP(A13,INDIRECT('LOCCS Import'!$U$3&amp;"$A$3"):INDIRECT('LOCCS Import'!$U$3&amp;"$O$54"),7,)</f>
        <v>2.29</v>
      </c>
      <c r="K13" s="60">
        <f ca="1">VLOOKUP(A13,INDIRECT('LOCCS Import'!$T$3&amp;"$A$3"):INDIRECT('LOCCS Import'!$T$3&amp;"$O$54"),7,)</f>
        <v>2.23</v>
      </c>
      <c r="L13" s="60">
        <f ca="1">VLOOKUP(A13,INDIRECT('LOCCS Import'!$S$3&amp;"$A$3"):INDIRECT('LOCCS Import'!$S$3&amp;"$O$54"),7,)</f>
        <v>2.14</v>
      </c>
      <c r="M13" s="60">
        <f ca="1">VLOOKUP(A13,INDIRECT('LOCCS Import'!$R$3&amp;"$A$3"):INDIRECT('LOCCS Import'!$R$3&amp;"$O$54"),7,)</f>
        <v>2.14</v>
      </c>
      <c r="N13" s="60">
        <f ca="1">VLOOKUP(A13,INDIRECT('LOCCS Import'!$Q$3&amp;"$A$3"):INDIRECT('LOCCS Import'!$Q$3&amp;"$O$54"),7,)</f>
        <v>2.0499999999999998</v>
      </c>
      <c r="O13" s="60">
        <f ca="1">VLOOKUP(A13,INDIRECT('LOCCS Import'!$P$3&amp;"$A$3"):INDIRECT('LOCCS Import'!$P$3&amp;"$O$54"),7,)</f>
        <v>2.93</v>
      </c>
      <c r="P13" s="60">
        <f ca="1">VLOOKUP(A13,INDIRECT('LOCCS Import'!$O$3&amp;"$A$3"):INDIRECT('LOCCS Import'!$O$3&amp;"$O$54"),7,)</f>
        <v>2.77</v>
      </c>
      <c r="Q13" s="60">
        <f ca="1">VLOOKUP(A13,INDIRECT('LOCCS Import'!$N$3&amp;"$A$3"):INDIRECT('LOCCS Import'!$N$3&amp;"$O$54"),7,)</f>
        <v>2.77</v>
      </c>
      <c r="R13" s="60">
        <f ca="1">VLOOKUP(A13,INDIRECT('LOCCS Import'!$M$3&amp;"$A$3"):INDIRECT('LOCCS Import'!$M$3&amp;"$O$54"),7,)</f>
        <v>2.58</v>
      </c>
      <c r="S13" s="60">
        <f ca="1">VLOOKUP(A13,INDIRECT('LOCCS Import'!$L$3&amp;"$A$3"):INDIRECT('LOCCS Import'!$L$3&amp;"$O$54"),7,)</f>
        <v>2.58</v>
      </c>
      <c r="T13" s="60">
        <f ca="1">VLOOKUP(A13,INDIRECT('LOCCS Import'!$K$3&amp;"$A$3"):INDIRECT('LOCCS Import'!$K$3&amp;"$O$54"),7,)</f>
        <v>2.4900000000000002</v>
      </c>
      <c r="U13" s="60">
        <f ca="1">VLOOKUP(A13,INDIRECT('LOCCS Import'!$J$3&amp;"$A$3"):INDIRECT('LOCCS Import'!$J$3&amp;"$O$54"),7,)</f>
        <v>2.41</v>
      </c>
      <c r="V13" s="60">
        <f ca="1">VLOOKUP(A13,INDIRECT('LOCCS Import'!$I$3&amp;"$A$3"):INDIRECT('LOCCS Import'!$I$3&amp;"$O$54"),7,)</f>
        <v>2.36</v>
      </c>
      <c r="W13" s="60">
        <f ca="1">VLOOKUP(A13,INDIRECT('LOCCS Import'!$H$3&amp;"$A$3"):INDIRECT('LOCCS Import'!$H$3&amp;"$O$54"),7,)</f>
        <v>2.27</v>
      </c>
      <c r="X13" s="60">
        <f ca="1">VLOOKUP(A13,INDIRECT('LOCCS Import'!$G$3&amp;"$A$3"):INDIRECT('LOCCS Import'!$G$3&amp;"$O$54"),7,)</f>
        <v>2.27</v>
      </c>
      <c r="Y13" s="60">
        <f ca="1">VLOOKUP(A13,INDIRECT('LOCCS Import'!$F$3&amp;"$A$3"):INDIRECT('LOCCS Import'!$F$3&amp;"$O$54"),7,)</f>
        <v>2.1</v>
      </c>
      <c r="Z13" s="60">
        <f ca="1">VLOOKUP(A13,INDIRECT('LOCCS Import'!$E$3&amp;"$A$3"):INDIRECT('LOCCS Import'!$E$3&amp;"$O$54"),7,)</f>
        <v>2.1</v>
      </c>
      <c r="AA13" s="60">
        <f>VLOOKUP(A13,template!$A$3:$P$54,7,)</f>
        <v>2.85</v>
      </c>
      <c r="AB13" s="58">
        <f t="shared" ca="1" si="0"/>
        <v>2.85</v>
      </c>
      <c r="AC13" s="60">
        <f t="shared" ca="1" si="1"/>
        <v>2.1</v>
      </c>
      <c r="AD13" s="61">
        <f t="shared" ca="1" si="2"/>
        <v>2.4625000000000004</v>
      </c>
      <c r="AE13" s="84">
        <f t="shared" ca="1" si="3"/>
        <v>14</v>
      </c>
      <c r="AF13" s="138"/>
      <c r="AG13" s="3">
        <f ca="1">VLOOKUP(A13,INDIRECT('LOCCS Import'!$AA$3&amp;"$A$3"):INDIRECT('LOCCS Import'!$AA$3&amp;"$O$54"),8,)</f>
        <v>1.17</v>
      </c>
      <c r="AH13" s="1">
        <f ca="1">VLOOKUP(A13,INDIRECT('LOCCS Import'!$Z$3&amp;"$A$3"):INDIRECT('LOCCS Import'!$Z$3&amp;"$O$54"),8,)</f>
        <v>0.98</v>
      </c>
      <c r="AI13" s="1">
        <f ca="1">VLOOKUP(A13,INDIRECT('LOCCS Import'!$Y$3&amp;"$A$3"):INDIRECT('LOCCS Import'!$Y$3&amp;"$O$54"),8,)</f>
        <v>0.96</v>
      </c>
      <c r="AJ13" s="1">
        <f ca="1">VLOOKUP(A13,INDIRECT('LOCCS Import'!$X$3&amp;"$A$3"):INDIRECT('LOCCS Import'!$X$3&amp;"$O$54"),8,)</f>
        <v>0.99</v>
      </c>
      <c r="AK13" s="1">
        <f ca="1">VLOOKUP(A13,INDIRECT('LOCCS Import'!$W$3&amp;"$A$3"):INDIRECT('LOCCS Import'!$W$3&amp;"$O$54"),8,)</f>
        <v>1.02</v>
      </c>
      <c r="AL13" s="1">
        <f ca="1">VLOOKUP(A13,INDIRECT('LOCCS Import'!$V$3&amp;"$A$3"):INDIRECT('LOCCS Import'!$V$3&amp;"$O$54"),8,)</f>
        <v>1.05</v>
      </c>
      <c r="AM13" s="1">
        <f ca="1">VLOOKUP(A13,INDIRECT('LOCCS Import'!$U$3&amp;"$A$3"):INDIRECT('LOCCS Import'!$U$3&amp;"$O$54"),8,)</f>
        <v>1.05</v>
      </c>
      <c r="AN13" s="1">
        <f ca="1">VLOOKUP(A13,INDIRECT('LOCCS Import'!$T$3&amp;"$A$3"):INDIRECT('LOCCS Import'!$T$3&amp;"$O$54"),8,)</f>
        <v>0.98</v>
      </c>
      <c r="AO13" s="1">
        <f ca="1">VLOOKUP(A13,INDIRECT('LOCCS Import'!$S$3&amp;"$A$3"):INDIRECT('LOCCS Import'!$S$3&amp;"$O$54"),8,)</f>
        <v>0.94</v>
      </c>
      <c r="AP13" s="1">
        <f ca="1">VLOOKUP(A13,INDIRECT('LOCCS Import'!$R$3&amp;"$A$3"):INDIRECT('LOCCS Import'!$R$3&amp;"$O$54"),8,)</f>
        <v>0.9</v>
      </c>
      <c r="AQ13" s="1">
        <f ca="1">VLOOKUP(A13,INDIRECT('LOCCS Import'!$Q$3&amp;"$A$3"):INDIRECT('LOCCS Import'!$Q$3&amp;"$O$54"),8,)</f>
        <v>0.95</v>
      </c>
      <c r="AR13" s="1">
        <f ca="1">VLOOKUP(A13,INDIRECT('LOCCS Import'!$P$3&amp;"$A$3"):INDIRECT('LOCCS Import'!$P$3&amp;"$O$54"),8,)</f>
        <v>0.82</v>
      </c>
      <c r="AS13" s="1">
        <f ca="1">VLOOKUP(A13,INDIRECT('LOCCS Import'!$O$3&amp;"$A$3"):INDIRECT('LOCCS Import'!$O$3&amp;"$O$54"),8,)</f>
        <v>0.89</v>
      </c>
      <c r="AT13" s="1">
        <f ca="1">VLOOKUP(A13,INDIRECT('LOCCS Import'!$N$3&amp;"$A$3"):INDIRECT('LOCCS Import'!$N$3&amp;"$O$54"),8,)</f>
        <v>0.82</v>
      </c>
      <c r="AU13" s="1">
        <f ca="1">VLOOKUP(A13,INDIRECT('LOCCS Import'!$M$3&amp;"$A$3"):INDIRECT('LOCCS Import'!$M$3&amp;"$O$54"),8,)</f>
        <v>0.84</v>
      </c>
      <c r="AV13" s="1">
        <f ca="1">VLOOKUP(A13,INDIRECT('LOCCS Import'!$L$3&amp;"$A$3"):INDIRECT('LOCCS Import'!$L$3&amp;"$O$54"),8,)</f>
        <v>0.73</v>
      </c>
      <c r="AW13" s="1">
        <f ca="1">VLOOKUP(A13,INDIRECT('LOCCS Import'!$K$3&amp;"$A$3"):INDIRECT('LOCCS Import'!$K$3&amp;"$O$54"),8,)</f>
        <v>0.76</v>
      </c>
      <c r="AX13" s="1">
        <f ca="1">VLOOKUP(A13,INDIRECT('LOCCS Import'!$J$3&amp;"$A$3"):INDIRECT('LOCCS Import'!$J$3&amp;"$O$54"),8,)</f>
        <v>0.77</v>
      </c>
      <c r="AY13" s="1">
        <f ca="1">VLOOKUP(A13,INDIRECT('LOCCS Import'!$I$3&amp;"$A$3"):INDIRECT('LOCCS Import'!$I$3&amp;"$O$54"),8,)</f>
        <v>0.8</v>
      </c>
      <c r="AZ13" s="1">
        <f ca="1">VLOOKUP(A13,INDIRECT('LOCCS Import'!$H$3&amp;"$A$3"):INDIRECT('LOCCS Import'!$H$3&amp;"$O$54"),8,)</f>
        <v>0.85</v>
      </c>
      <c r="BA13" s="1">
        <f ca="1">VLOOKUP(A13,INDIRECT('LOCCS Import'!$G$3&amp;"$A$3"):INDIRECT('LOCCS Import'!$G$3&amp;"$O$54"),8,)</f>
        <v>0.77</v>
      </c>
      <c r="BB13" s="1">
        <f ca="1">VLOOKUP(A13,INDIRECT('LOCCS Import'!$F$3&amp;"$A$3"):INDIRECT('LOCCS Import'!$F$3&amp;"$O$54"),8,)</f>
        <v>0.94</v>
      </c>
      <c r="BC13" s="1">
        <f ca="1">VLOOKUP(A13,INDIRECT('LOCCS Import'!$E$3&amp;"$A$3"):INDIRECT('LOCCS Import'!$E$3&amp;"$O$54"),8,)</f>
        <v>0.85</v>
      </c>
      <c r="BD13" s="2">
        <f>VLOOKUP(A13,template!$A$3:$P$54,8,)</f>
        <v>1.04</v>
      </c>
      <c r="BE13" s="2">
        <f t="shared" ca="1" si="4"/>
        <v>0.83833333333333326</v>
      </c>
      <c r="BF13" s="115">
        <f t="shared" ca="1" si="5"/>
        <v>35</v>
      </c>
    </row>
    <row r="14" spans="1:58" x14ac:dyDescent="0.3">
      <c r="A14" s="67" t="s">
        <v>26</v>
      </c>
      <c r="B14" s="64" t="s">
        <v>70</v>
      </c>
      <c r="C14" s="64" t="s">
        <v>93</v>
      </c>
      <c r="D14" s="60">
        <f ca="1">VLOOKUP(A14,INDIRECT('LOCCS Import'!$AA$3&amp;"$A$3"):INDIRECT('LOCCS Import'!$AA$3&amp;"$O$54"),7,)</f>
        <v>5.4</v>
      </c>
      <c r="E14" s="60">
        <f ca="1">VLOOKUP(A14,INDIRECT('LOCCS Import'!$Z$3&amp;"$A$3"):INDIRECT('LOCCS Import'!$Z$3&amp;"$O$54"),7,)</f>
        <v>5.33</v>
      </c>
      <c r="F14" s="60">
        <f ca="1">VLOOKUP(A14,INDIRECT('LOCCS Import'!$Y$3&amp;"$A$3"):INDIRECT('LOCCS Import'!$Y$3&amp;"$O$54"),7,)</f>
        <v>5.23</v>
      </c>
      <c r="G14" s="60">
        <f ca="1">VLOOKUP(A14,INDIRECT('LOCCS Import'!$X$3&amp;"$A$3"):INDIRECT('LOCCS Import'!$X$3&amp;"$O$54"),7,)</f>
        <v>5.15</v>
      </c>
      <c r="H14" s="60">
        <f ca="1">VLOOKUP(A14,INDIRECT('LOCCS Import'!$W$3&amp;"$A$3"):INDIRECT('LOCCS Import'!$W$3&amp;"$O$54"),7,)</f>
        <v>5.08</v>
      </c>
      <c r="I14" s="60">
        <f ca="1">VLOOKUP(A14,INDIRECT('LOCCS Import'!$V$3&amp;"$A$3"):INDIRECT('LOCCS Import'!$V$3&amp;"$O$54"),7,)</f>
        <v>5.04</v>
      </c>
      <c r="J14" s="60">
        <f ca="1">VLOOKUP(A14,INDIRECT('LOCCS Import'!$U$3&amp;"$A$3"):INDIRECT('LOCCS Import'!$U$3&amp;"$O$54"),7,)</f>
        <v>5.04</v>
      </c>
      <c r="K14" s="60">
        <f ca="1">VLOOKUP(A14,INDIRECT('LOCCS Import'!$T$3&amp;"$A$3"):INDIRECT('LOCCS Import'!$T$3&amp;"$O$54"),7,)</f>
        <v>4.88</v>
      </c>
      <c r="L14" s="60">
        <f ca="1">VLOOKUP(A14,INDIRECT('LOCCS Import'!$S$3&amp;"$A$3"):INDIRECT('LOCCS Import'!$S$3&amp;"$O$54"),7,)</f>
        <v>4.63</v>
      </c>
      <c r="M14" s="60">
        <f ca="1">VLOOKUP(A14,INDIRECT('LOCCS Import'!$R$3&amp;"$A$3"):INDIRECT('LOCCS Import'!$R$3&amp;"$O$54"),7,)</f>
        <v>4.57</v>
      </c>
      <c r="N14" s="60">
        <f ca="1">VLOOKUP(A14,INDIRECT('LOCCS Import'!$Q$3&amp;"$A$3"):INDIRECT('LOCCS Import'!$Q$3&amp;"$O$54"),7,)</f>
        <v>4.18</v>
      </c>
      <c r="O14" s="60">
        <f ca="1">VLOOKUP(A14,INDIRECT('LOCCS Import'!$P$3&amp;"$A$3"):INDIRECT('LOCCS Import'!$P$3&amp;"$O$54"),7,)</f>
        <v>4.07</v>
      </c>
      <c r="P14" s="60">
        <f ca="1">VLOOKUP(A14,INDIRECT('LOCCS Import'!$O$3&amp;"$A$3"):INDIRECT('LOCCS Import'!$O$3&amp;"$O$54"),7,)</f>
        <v>3.73</v>
      </c>
      <c r="Q14" s="60">
        <f ca="1">VLOOKUP(A14,INDIRECT('LOCCS Import'!$N$3&amp;"$A$3"):INDIRECT('LOCCS Import'!$N$3&amp;"$O$54"),7,)</f>
        <v>3.66</v>
      </c>
      <c r="R14" s="60">
        <f ca="1">VLOOKUP(A14,INDIRECT('LOCCS Import'!$M$3&amp;"$A$3"):INDIRECT('LOCCS Import'!$M$3&amp;"$O$54"),7,)</f>
        <v>3.48</v>
      </c>
      <c r="S14" s="60">
        <f ca="1">VLOOKUP(A14,INDIRECT('LOCCS Import'!$L$3&amp;"$A$3"):INDIRECT('LOCCS Import'!$L$3&amp;"$O$54"),7,)</f>
        <v>4.37</v>
      </c>
      <c r="T14" s="60">
        <f ca="1">VLOOKUP(A14,INDIRECT('LOCCS Import'!$K$3&amp;"$A$3"):INDIRECT('LOCCS Import'!$K$3&amp;"$O$54"),7,)</f>
        <v>4.24</v>
      </c>
      <c r="U14" s="60">
        <f ca="1">VLOOKUP(A14,INDIRECT('LOCCS Import'!$J$3&amp;"$A$3"):INDIRECT('LOCCS Import'!$J$3&amp;"$O$54"),7,)</f>
        <v>4.0999999999999996</v>
      </c>
      <c r="V14" s="60">
        <f ca="1">VLOOKUP(A14,INDIRECT('LOCCS Import'!$I$3&amp;"$A$3"):INDIRECT('LOCCS Import'!$I$3&amp;"$O$54"),7,)</f>
        <v>4.01</v>
      </c>
      <c r="W14" s="60">
        <f ca="1">VLOOKUP(A14,INDIRECT('LOCCS Import'!$H$3&amp;"$A$3"):INDIRECT('LOCCS Import'!$H$3&amp;"$O$54"),7,)</f>
        <v>3.83</v>
      </c>
      <c r="X14" s="60">
        <f ca="1">VLOOKUP(A14,INDIRECT('LOCCS Import'!$G$3&amp;"$A$3"):INDIRECT('LOCCS Import'!$G$3&amp;"$O$54"),7,)</f>
        <v>3.63</v>
      </c>
      <c r="Y14" s="60">
        <f ca="1">VLOOKUP(A14,INDIRECT('LOCCS Import'!$F$3&amp;"$A$3"):INDIRECT('LOCCS Import'!$F$3&amp;"$O$54"),7,)</f>
        <v>3.54</v>
      </c>
      <c r="Z14" s="60">
        <f ca="1">VLOOKUP(A14,INDIRECT('LOCCS Import'!$E$3&amp;"$A$3"):INDIRECT('LOCCS Import'!$E$3&amp;"$O$54"),7,)</f>
        <v>3.45</v>
      </c>
      <c r="AA14" s="60">
        <f>VLOOKUP(A14,template!$A$3:$P$54,7,)</f>
        <v>3.36</v>
      </c>
      <c r="AB14" s="58">
        <f t="shared" ca="1" si="0"/>
        <v>4.37</v>
      </c>
      <c r="AC14" s="60">
        <f t="shared" ca="1" si="1"/>
        <v>3.36</v>
      </c>
      <c r="AD14" s="61">
        <f t="shared" ca="1" si="2"/>
        <v>3.7833333333333337</v>
      </c>
      <c r="AE14" s="84">
        <f t="shared" ca="1" si="3"/>
        <v>38</v>
      </c>
      <c r="AF14" s="138"/>
      <c r="AG14" s="3">
        <f ca="1">VLOOKUP(A14,INDIRECT('LOCCS Import'!$AA$3&amp;"$A$3"):INDIRECT('LOCCS Import'!$AA$3&amp;"$O$54"),8,)</f>
        <v>0.51</v>
      </c>
      <c r="AH14" s="1">
        <f ca="1">VLOOKUP(A14,INDIRECT('LOCCS Import'!$Z$3&amp;"$A$3"):INDIRECT('LOCCS Import'!$Z$3&amp;"$O$54"),8,)</f>
        <v>0.55000000000000004</v>
      </c>
      <c r="AI14" s="1">
        <f ca="1">VLOOKUP(A14,INDIRECT('LOCCS Import'!$Y$3&amp;"$A$3"):INDIRECT('LOCCS Import'!$Y$3&amp;"$O$54"),8,)</f>
        <v>0.56999999999999995</v>
      </c>
      <c r="AJ14" s="1">
        <f ca="1">VLOOKUP(A14,INDIRECT('LOCCS Import'!$X$3&amp;"$A$3"):INDIRECT('LOCCS Import'!$X$3&amp;"$O$54"),8,)</f>
        <v>0.61</v>
      </c>
      <c r="AK14" s="1">
        <f ca="1">VLOOKUP(A14,INDIRECT('LOCCS Import'!$W$3&amp;"$A$3"):INDIRECT('LOCCS Import'!$W$3&amp;"$O$54"),8,)</f>
        <v>0.64</v>
      </c>
      <c r="AL14" s="1">
        <f ca="1">VLOOKUP(A14,INDIRECT('LOCCS Import'!$V$3&amp;"$A$3"):INDIRECT('LOCCS Import'!$V$3&amp;"$O$54"),8,)</f>
        <v>0.63</v>
      </c>
      <c r="AM14" s="1">
        <f ca="1">VLOOKUP(A14,INDIRECT('LOCCS Import'!$U$3&amp;"$A$3"):INDIRECT('LOCCS Import'!$U$3&amp;"$O$54"),8,)</f>
        <v>0.63</v>
      </c>
      <c r="AN14" s="1">
        <f ca="1">VLOOKUP(A14,INDIRECT('LOCCS Import'!$T$3&amp;"$A$3"):INDIRECT('LOCCS Import'!$T$3&amp;"$O$54"),8,)</f>
        <v>0.76</v>
      </c>
      <c r="AO14" s="1">
        <f ca="1">VLOOKUP(A14,INDIRECT('LOCCS Import'!$S$3&amp;"$A$3"):INDIRECT('LOCCS Import'!$S$3&amp;"$O$54"),8,)</f>
        <v>0.96</v>
      </c>
      <c r="AP14" s="1">
        <f ca="1">VLOOKUP(A14,INDIRECT('LOCCS Import'!$R$3&amp;"$A$3"):INDIRECT('LOCCS Import'!$R$3&amp;"$O$54"),8,)</f>
        <v>0.97</v>
      </c>
      <c r="AQ14" s="1">
        <f ca="1">VLOOKUP(A14,INDIRECT('LOCCS Import'!$Q$3&amp;"$A$3"):INDIRECT('LOCCS Import'!$Q$3&amp;"$O$54"),8,)</f>
        <v>1.23</v>
      </c>
      <c r="AR14" s="1">
        <f ca="1">VLOOKUP(A14,INDIRECT('LOCCS Import'!$P$3&amp;"$A$3"):INDIRECT('LOCCS Import'!$P$3&amp;"$O$54"),8,)</f>
        <v>1.39</v>
      </c>
      <c r="AS14" s="1">
        <f ca="1">VLOOKUP(A14,INDIRECT('LOCCS Import'!$O$3&amp;"$A$3"):INDIRECT('LOCCS Import'!$O$3&amp;"$O$54"),8,)</f>
        <v>1.67</v>
      </c>
      <c r="AT14" s="1">
        <f ca="1">VLOOKUP(A14,INDIRECT('LOCCS Import'!$N$3&amp;"$A$3"):INDIRECT('LOCCS Import'!$N$3&amp;"$O$54"),8,)</f>
        <v>1.67</v>
      </c>
      <c r="AU14" s="1">
        <f ca="1">VLOOKUP(A14,INDIRECT('LOCCS Import'!$M$3&amp;"$A$3"):INDIRECT('LOCCS Import'!$M$3&amp;"$O$54"),8,)</f>
        <v>1.71</v>
      </c>
      <c r="AV14" s="1">
        <f ca="1">VLOOKUP(A14,INDIRECT('LOCCS Import'!$L$3&amp;"$A$3"):INDIRECT('LOCCS Import'!$L$3&amp;"$O$54"),8,)</f>
        <v>1.8</v>
      </c>
      <c r="AW14" s="1">
        <f ca="1">VLOOKUP(A14,INDIRECT('LOCCS Import'!$K$3&amp;"$A$3"):INDIRECT('LOCCS Import'!$K$3&amp;"$O$54"),8,)</f>
        <v>1.86</v>
      </c>
      <c r="AX14" s="1">
        <f ca="1">VLOOKUP(A14,INDIRECT('LOCCS Import'!$J$3&amp;"$A$3"):INDIRECT('LOCCS Import'!$J$3&amp;"$O$54"),8,)</f>
        <v>1.96</v>
      </c>
      <c r="AY14" s="1">
        <f ca="1">VLOOKUP(A14,INDIRECT('LOCCS Import'!$I$3&amp;"$A$3"):INDIRECT('LOCCS Import'!$I$3&amp;"$O$54"),8,)</f>
        <v>1.98</v>
      </c>
      <c r="AZ14" s="1">
        <f ca="1">VLOOKUP(A14,INDIRECT('LOCCS Import'!$H$3&amp;"$A$3"):INDIRECT('LOCCS Import'!$H$3&amp;"$O$54"),8,)</f>
        <v>2.0699999999999998</v>
      </c>
      <c r="BA14" s="1">
        <f ca="1">VLOOKUP(A14,INDIRECT('LOCCS Import'!$G$3&amp;"$A$3"):INDIRECT('LOCCS Import'!$G$3&amp;"$O$54"),8,)</f>
        <v>2.02</v>
      </c>
      <c r="BB14" s="1">
        <f ca="1">VLOOKUP(A14,INDIRECT('LOCCS Import'!$F$3&amp;"$A$3"):INDIRECT('LOCCS Import'!$F$3&amp;"$O$54"),8,)</f>
        <v>2.0499999999999998</v>
      </c>
      <c r="BC14" s="1">
        <f ca="1">VLOOKUP(A14,INDIRECT('LOCCS Import'!$E$3&amp;"$A$3"):INDIRECT('LOCCS Import'!$E$3&amp;"$O$54"),8,)</f>
        <v>1.75</v>
      </c>
      <c r="BD14" s="2">
        <f>VLOOKUP(A14,template!$A$3:$P$54,8,)</f>
        <v>1.71</v>
      </c>
      <c r="BE14" s="2">
        <f t="shared" ca="1" si="4"/>
        <v>1.8541666666666667</v>
      </c>
      <c r="BF14" s="115">
        <f t="shared" ca="1" si="5"/>
        <v>1</v>
      </c>
    </row>
    <row r="15" spans="1:58" x14ac:dyDescent="0.3">
      <c r="A15" s="67" t="s">
        <v>27</v>
      </c>
      <c r="B15" s="64" t="s">
        <v>73</v>
      </c>
      <c r="C15" s="64" t="s">
        <v>94</v>
      </c>
      <c r="D15" s="60">
        <f ca="1">VLOOKUP(A15,INDIRECT('LOCCS Import'!$AA$3&amp;"$A$3"):INDIRECT('LOCCS Import'!$AA$3&amp;"$O$54"),7,)</f>
        <v>2.68</v>
      </c>
      <c r="E15" s="60">
        <f ca="1">VLOOKUP(A15,INDIRECT('LOCCS Import'!$Z$3&amp;"$A$3"):INDIRECT('LOCCS Import'!$Z$3&amp;"$O$54"),7,)</f>
        <v>2.68</v>
      </c>
      <c r="F15" s="60">
        <f ca="1">VLOOKUP(A15,INDIRECT('LOCCS Import'!$Y$3&amp;"$A$3"):INDIRECT('LOCCS Import'!$Y$3&amp;"$O$54"),7,)</f>
        <v>2.6</v>
      </c>
      <c r="G15" s="60">
        <f ca="1">VLOOKUP(A15,INDIRECT('LOCCS Import'!$X$3&amp;"$A$3"):INDIRECT('LOCCS Import'!$X$3&amp;"$O$54"),7,)</f>
        <v>2.5499999999999998</v>
      </c>
      <c r="H15" s="60">
        <f ca="1">VLOOKUP(A15,INDIRECT('LOCCS Import'!$W$3&amp;"$A$3"):INDIRECT('LOCCS Import'!$W$3&amp;"$O$54"),7,)</f>
        <v>2.4500000000000002</v>
      </c>
      <c r="I15" s="60">
        <f ca="1">VLOOKUP(A15,INDIRECT('LOCCS Import'!$V$3&amp;"$A$3"):INDIRECT('LOCCS Import'!$V$3&amp;"$O$54"),7,)</f>
        <v>2.37</v>
      </c>
      <c r="J15" s="60">
        <f ca="1">VLOOKUP(A15,INDIRECT('LOCCS Import'!$U$3&amp;"$A$3"):INDIRECT('LOCCS Import'!$U$3&amp;"$O$54"),7,)</f>
        <v>2.37</v>
      </c>
      <c r="K15" s="60">
        <f ca="1">VLOOKUP(A15,INDIRECT('LOCCS Import'!$T$3&amp;"$A$3"):INDIRECT('LOCCS Import'!$T$3&amp;"$O$54"),7,)</f>
        <v>2.19</v>
      </c>
      <c r="L15" s="60">
        <f ca="1">VLOOKUP(A15,INDIRECT('LOCCS Import'!$S$3&amp;"$A$3"):INDIRECT('LOCCS Import'!$S$3&amp;"$O$54"),7,)</f>
        <v>2.1</v>
      </c>
      <c r="M15" s="60">
        <f ca="1">VLOOKUP(A15,INDIRECT('LOCCS Import'!$R$3&amp;"$A$3"):INDIRECT('LOCCS Import'!$R$3&amp;"$O$54"),7,)</f>
        <v>2.09</v>
      </c>
      <c r="N15" s="60">
        <f ca="1">VLOOKUP(A15,INDIRECT('LOCCS Import'!$Q$3&amp;"$A$3"):INDIRECT('LOCCS Import'!$Q$3&amp;"$O$54"),7,)</f>
        <v>1.98</v>
      </c>
      <c r="O15" s="60">
        <f ca="1">VLOOKUP(A15,INDIRECT('LOCCS Import'!$P$3&amp;"$A$3"):INDIRECT('LOCCS Import'!$P$3&amp;"$O$54"),7,)</f>
        <v>2.97</v>
      </c>
      <c r="P15" s="60">
        <f ca="1">VLOOKUP(A15,INDIRECT('LOCCS Import'!$O$3&amp;"$A$3"):INDIRECT('LOCCS Import'!$O$3&amp;"$O$54"),7,)</f>
        <v>2.92</v>
      </c>
      <c r="Q15" s="60">
        <f ca="1">VLOOKUP(A15,INDIRECT('LOCCS Import'!$N$3&amp;"$A$3"):INDIRECT('LOCCS Import'!$N$3&amp;"$O$54"),7,)</f>
        <v>2.88</v>
      </c>
      <c r="R15" s="60">
        <f ca="1">VLOOKUP(A15,INDIRECT('LOCCS Import'!$M$3&amp;"$A$3"):INDIRECT('LOCCS Import'!$M$3&amp;"$O$54"),7,)</f>
        <v>2.81</v>
      </c>
      <c r="S15" s="60">
        <f ca="1">VLOOKUP(A15,INDIRECT('LOCCS Import'!$L$3&amp;"$A$3"):INDIRECT('LOCCS Import'!$L$3&amp;"$O$54"),7,)</f>
        <v>2.8</v>
      </c>
      <c r="T15" s="60">
        <f ca="1">VLOOKUP(A15,INDIRECT('LOCCS Import'!$K$3&amp;"$A$3"):INDIRECT('LOCCS Import'!$K$3&amp;"$O$54"),7,)</f>
        <v>2.74</v>
      </c>
      <c r="U15" s="60">
        <f ca="1">VLOOKUP(A15,INDIRECT('LOCCS Import'!$J$3&amp;"$A$3"):INDIRECT('LOCCS Import'!$J$3&amp;"$O$54"),7,)</f>
        <v>2.64</v>
      </c>
      <c r="V15" s="60">
        <f ca="1">VLOOKUP(A15,INDIRECT('LOCCS Import'!$I$3&amp;"$A$3"):INDIRECT('LOCCS Import'!$I$3&amp;"$O$54"),7,)</f>
        <v>2.56</v>
      </c>
      <c r="W15" s="60">
        <f ca="1">VLOOKUP(A15,INDIRECT('LOCCS Import'!$H$3&amp;"$A$3"):INDIRECT('LOCCS Import'!$H$3&amp;"$O$54"),7,)</f>
        <v>2.54</v>
      </c>
      <c r="X15" s="60">
        <f ca="1">VLOOKUP(A15,INDIRECT('LOCCS Import'!$G$3&amp;"$A$3"):INDIRECT('LOCCS Import'!$G$3&amp;"$O$54"),7,)</f>
        <v>2.2999999999999998</v>
      </c>
      <c r="Y15" s="60">
        <f ca="1">VLOOKUP(A15,INDIRECT('LOCCS Import'!$F$3&amp;"$A$3"):INDIRECT('LOCCS Import'!$F$3&amp;"$O$54"),7,)</f>
        <v>2.2599999999999998</v>
      </c>
      <c r="Z15" s="60">
        <f ca="1">VLOOKUP(A15,INDIRECT('LOCCS Import'!$E$3&amp;"$A$3"):INDIRECT('LOCCS Import'!$E$3&amp;"$O$54"),7,)</f>
        <v>2.2400000000000002</v>
      </c>
      <c r="AA15" s="60">
        <f>VLOOKUP(A15,template!$A$3:$P$54,7,)</f>
        <v>3.06</v>
      </c>
      <c r="AB15" s="58">
        <f t="shared" ca="1" si="0"/>
        <v>3.06</v>
      </c>
      <c r="AC15" s="60">
        <f t="shared" ca="1" si="1"/>
        <v>2.2400000000000002</v>
      </c>
      <c r="AD15" s="61">
        <f t="shared" ca="1" si="2"/>
        <v>2.645833333333333</v>
      </c>
      <c r="AE15" s="84">
        <f t="shared" ca="1" si="3"/>
        <v>17</v>
      </c>
      <c r="AF15" s="138"/>
      <c r="AG15" s="3">
        <f ca="1">VLOOKUP(A15,INDIRECT('LOCCS Import'!$AA$3&amp;"$A$3"):INDIRECT('LOCCS Import'!$AA$3&amp;"$O$54"),8,)</f>
        <v>0.85</v>
      </c>
      <c r="AH15" s="1">
        <f ca="1">VLOOKUP(A15,INDIRECT('LOCCS Import'!$Z$3&amp;"$A$3"):INDIRECT('LOCCS Import'!$Z$3&amp;"$O$54"),8,)</f>
        <v>0.79</v>
      </c>
      <c r="AI15" s="1">
        <f ca="1">VLOOKUP(A15,INDIRECT('LOCCS Import'!$Y$3&amp;"$A$3"):INDIRECT('LOCCS Import'!$Y$3&amp;"$O$54"),8,)</f>
        <v>0.78</v>
      </c>
      <c r="AJ15" s="1">
        <f ca="1">VLOOKUP(A15,INDIRECT('LOCCS Import'!$X$3&amp;"$A$3"):INDIRECT('LOCCS Import'!$X$3&amp;"$O$54"),8,)</f>
        <v>0.76</v>
      </c>
      <c r="AK15" s="1">
        <f ca="1">VLOOKUP(A15,INDIRECT('LOCCS Import'!$W$3&amp;"$A$3"):INDIRECT('LOCCS Import'!$W$3&amp;"$O$54"),8,)</f>
        <v>0.86</v>
      </c>
      <c r="AL15" s="1">
        <f ca="1">VLOOKUP(A15,INDIRECT('LOCCS Import'!$V$3&amp;"$A$3"):INDIRECT('LOCCS Import'!$V$3&amp;"$O$54"),8,)</f>
        <v>0.87</v>
      </c>
      <c r="AM15" s="1">
        <f ca="1">VLOOKUP(A15,INDIRECT('LOCCS Import'!$U$3&amp;"$A$3"):INDIRECT('LOCCS Import'!$U$3&amp;"$O$54"),8,)</f>
        <v>0.87</v>
      </c>
      <c r="AN15" s="1">
        <f ca="1">VLOOKUP(A15,INDIRECT('LOCCS Import'!$T$3&amp;"$A$3"):INDIRECT('LOCCS Import'!$T$3&amp;"$O$54"),8,)</f>
        <v>0.88</v>
      </c>
      <c r="AO15" s="1">
        <f ca="1">VLOOKUP(A15,INDIRECT('LOCCS Import'!$S$3&amp;"$A$3"):INDIRECT('LOCCS Import'!$S$3&amp;"$O$54"),8,)</f>
        <v>0.87</v>
      </c>
      <c r="AP15" s="1">
        <f ca="1">VLOOKUP(A15,INDIRECT('LOCCS Import'!$R$3&amp;"$A$3"):INDIRECT('LOCCS Import'!$R$3&amp;"$O$54"),8,)</f>
        <v>0.88</v>
      </c>
      <c r="AQ15" s="1">
        <f ca="1">VLOOKUP(A15,INDIRECT('LOCCS Import'!$Q$3&amp;"$A$3"):INDIRECT('LOCCS Import'!$Q$3&amp;"$O$54"),8,)</f>
        <v>0.86</v>
      </c>
      <c r="AR15" s="1">
        <f ca="1">VLOOKUP(A15,INDIRECT('LOCCS Import'!$P$3&amp;"$A$3"):INDIRECT('LOCCS Import'!$P$3&amp;"$O$54"),8,)</f>
        <v>0.76</v>
      </c>
      <c r="AS15" s="1">
        <f ca="1">VLOOKUP(A15,INDIRECT('LOCCS Import'!$O$3&amp;"$A$3"):INDIRECT('LOCCS Import'!$O$3&amp;"$O$54"),8,)</f>
        <v>0.77</v>
      </c>
      <c r="AT15" s="1">
        <f ca="1">VLOOKUP(A15,INDIRECT('LOCCS Import'!$N$3&amp;"$A$3"):INDIRECT('LOCCS Import'!$N$3&amp;"$O$54"),8,)</f>
        <v>0.81</v>
      </c>
      <c r="AU15" s="1">
        <f ca="1">VLOOKUP(A15,INDIRECT('LOCCS Import'!$M$3&amp;"$A$3"):INDIRECT('LOCCS Import'!$M$3&amp;"$O$54"),8,)</f>
        <v>0.8</v>
      </c>
      <c r="AV15" s="1">
        <f ca="1">VLOOKUP(A15,INDIRECT('LOCCS Import'!$L$3&amp;"$A$3"):INDIRECT('LOCCS Import'!$L$3&amp;"$O$54"),8,)</f>
        <v>0.75</v>
      </c>
      <c r="AW15" s="1">
        <f ca="1">VLOOKUP(A15,INDIRECT('LOCCS Import'!$K$3&amp;"$A$3"):INDIRECT('LOCCS Import'!$K$3&amp;"$O$54"),8,)</f>
        <v>0.71</v>
      </c>
      <c r="AX15" s="1">
        <f ca="1">VLOOKUP(A15,INDIRECT('LOCCS Import'!$J$3&amp;"$A$3"):INDIRECT('LOCCS Import'!$J$3&amp;"$O$54"),8,)</f>
        <v>0.73</v>
      </c>
      <c r="AY15" s="1">
        <f ca="1">VLOOKUP(A15,INDIRECT('LOCCS Import'!$I$3&amp;"$A$3"):INDIRECT('LOCCS Import'!$I$3&amp;"$O$54"),8,)</f>
        <v>0.72</v>
      </c>
      <c r="AZ15" s="1">
        <f ca="1">VLOOKUP(A15,INDIRECT('LOCCS Import'!$H$3&amp;"$A$3"):INDIRECT('LOCCS Import'!$H$3&amp;"$O$54"),8,)</f>
        <v>0.66</v>
      </c>
      <c r="BA15" s="1">
        <f ca="1">VLOOKUP(A15,INDIRECT('LOCCS Import'!$G$3&amp;"$A$3"):INDIRECT('LOCCS Import'!$G$3&amp;"$O$54"),8,)</f>
        <v>0.81</v>
      </c>
      <c r="BB15" s="1">
        <f ca="1">VLOOKUP(A15,INDIRECT('LOCCS Import'!$F$3&amp;"$A$3"):INDIRECT('LOCCS Import'!$F$3&amp;"$O$54"),8,)</f>
        <v>0.84</v>
      </c>
      <c r="BC15" s="1">
        <f ca="1">VLOOKUP(A15,INDIRECT('LOCCS Import'!$E$3&amp;"$A$3"):INDIRECT('LOCCS Import'!$E$3&amp;"$O$54"),8,)</f>
        <v>0.74</v>
      </c>
      <c r="BD15" s="2">
        <f>VLOOKUP(A15,template!$A$3:$P$54,8,)</f>
        <v>0.9</v>
      </c>
      <c r="BE15" s="2">
        <f t="shared" ca="1" si="4"/>
        <v>0.77</v>
      </c>
      <c r="BF15" s="115">
        <f t="shared" ca="1" si="5"/>
        <v>46</v>
      </c>
    </row>
    <row r="16" spans="1:58" x14ac:dyDescent="0.3">
      <c r="A16" s="67" t="s">
        <v>28</v>
      </c>
      <c r="B16" s="64" t="s">
        <v>70</v>
      </c>
      <c r="C16" s="64" t="s">
        <v>95</v>
      </c>
      <c r="D16" s="60">
        <f ca="1">VLOOKUP(A16,INDIRECT('LOCCS Import'!$AA$3&amp;"$A$3"):INDIRECT('LOCCS Import'!$AA$3&amp;"$O$54"),7,)</f>
        <v>2.35</v>
      </c>
      <c r="E16" s="60">
        <f ca="1">VLOOKUP(A16,INDIRECT('LOCCS Import'!$Z$3&amp;"$A$3"):INDIRECT('LOCCS Import'!$Z$3&amp;"$O$54"),7,)</f>
        <v>3.34</v>
      </c>
      <c r="F16" s="60">
        <f ca="1">VLOOKUP(A16,INDIRECT('LOCCS Import'!$Y$3&amp;"$A$3"):INDIRECT('LOCCS Import'!$Y$3&amp;"$O$54"),7,)</f>
        <v>3.27</v>
      </c>
      <c r="G16" s="60">
        <f ca="1">VLOOKUP(A16,INDIRECT('LOCCS Import'!$X$3&amp;"$A$3"):INDIRECT('LOCCS Import'!$X$3&amp;"$O$54"),7,)</f>
        <v>3.19</v>
      </c>
      <c r="H16" s="60">
        <f ca="1">VLOOKUP(A16,INDIRECT('LOCCS Import'!$W$3&amp;"$A$3"):INDIRECT('LOCCS Import'!$W$3&amp;"$O$54"),7,)</f>
        <v>3.15</v>
      </c>
      <c r="I16" s="60">
        <f ca="1">VLOOKUP(A16,INDIRECT('LOCCS Import'!$V$3&amp;"$A$3"):INDIRECT('LOCCS Import'!$V$3&amp;"$O$54"),7,)</f>
        <v>3.08</v>
      </c>
      <c r="J16" s="60">
        <f ca="1">VLOOKUP(A16,INDIRECT('LOCCS Import'!$U$3&amp;"$A$3"):INDIRECT('LOCCS Import'!$U$3&amp;"$O$54"),7,)</f>
        <v>3.08</v>
      </c>
      <c r="K16" s="60">
        <f ca="1">VLOOKUP(A16,INDIRECT('LOCCS Import'!$T$3&amp;"$A$3"):INDIRECT('LOCCS Import'!$T$3&amp;"$O$54"),7,)</f>
        <v>2.92</v>
      </c>
      <c r="L16" s="60">
        <f ca="1">VLOOKUP(A16,INDIRECT('LOCCS Import'!$S$3&amp;"$A$3"):INDIRECT('LOCCS Import'!$S$3&amp;"$O$54"),7,)</f>
        <v>2.82</v>
      </c>
      <c r="M16" s="60">
        <f ca="1">VLOOKUP(A16,INDIRECT('LOCCS Import'!$R$3&amp;"$A$3"):INDIRECT('LOCCS Import'!$R$3&amp;"$O$54"),7,)</f>
        <v>2.75</v>
      </c>
      <c r="N16" s="60">
        <f ca="1">VLOOKUP(A16,INDIRECT('LOCCS Import'!$Q$3&amp;"$A$3"):INDIRECT('LOCCS Import'!$Q$3&amp;"$O$54"),7,)</f>
        <v>2.67</v>
      </c>
      <c r="O16" s="60">
        <f ca="1">VLOOKUP(A16,INDIRECT('LOCCS Import'!$P$3&amp;"$A$3"):INDIRECT('LOCCS Import'!$P$3&amp;"$O$54"),7,)</f>
        <v>3.6</v>
      </c>
      <c r="P16" s="60">
        <f ca="1">VLOOKUP(A16,INDIRECT('LOCCS Import'!$O$3&amp;"$A$3"):INDIRECT('LOCCS Import'!$O$3&amp;"$O$54"),7,)</f>
        <v>3.49</v>
      </c>
      <c r="Q16" s="60">
        <f ca="1">VLOOKUP(A16,INDIRECT('LOCCS Import'!$N$3&amp;"$A$3"):INDIRECT('LOCCS Import'!$N$3&amp;"$O$54"),7,)</f>
        <v>3.45</v>
      </c>
      <c r="R16" s="60">
        <f ca="1">VLOOKUP(A16,INDIRECT('LOCCS Import'!$M$3&amp;"$A$3"):INDIRECT('LOCCS Import'!$M$3&amp;"$O$54"),7,)</f>
        <v>3.39</v>
      </c>
      <c r="S16" s="60">
        <f ca="1">VLOOKUP(A16,INDIRECT('LOCCS Import'!$L$3&amp;"$A$3"):INDIRECT('LOCCS Import'!$L$3&amp;"$O$54"),7,)</f>
        <v>3.35</v>
      </c>
      <c r="T16" s="60">
        <f ca="1">VLOOKUP(A16,INDIRECT('LOCCS Import'!$K$3&amp;"$A$3"):INDIRECT('LOCCS Import'!$K$3&amp;"$O$54"),7,)</f>
        <v>3.29</v>
      </c>
      <c r="U16" s="60">
        <f ca="1">VLOOKUP(A16,INDIRECT('LOCCS Import'!$J$3&amp;"$A$3"):INDIRECT('LOCCS Import'!$J$3&amp;"$O$54"),7,)</f>
        <v>3.27</v>
      </c>
      <c r="V16" s="60">
        <f ca="1">VLOOKUP(A16,INDIRECT('LOCCS Import'!$I$3&amp;"$A$3"):INDIRECT('LOCCS Import'!$I$3&amp;"$O$54"),7,)</f>
        <v>3.19</v>
      </c>
      <c r="W16" s="60">
        <f ca="1">VLOOKUP(A16,INDIRECT('LOCCS Import'!$H$3&amp;"$A$3"):INDIRECT('LOCCS Import'!$H$3&amp;"$O$54"),7,)</f>
        <v>3.17</v>
      </c>
      <c r="X16" s="60">
        <f ca="1">VLOOKUP(A16,INDIRECT('LOCCS Import'!$G$3&amp;"$A$3"):INDIRECT('LOCCS Import'!$G$3&amp;"$O$54"),7,)</f>
        <v>3.08</v>
      </c>
      <c r="Y16" s="60">
        <f ca="1">VLOOKUP(A16,INDIRECT('LOCCS Import'!$F$3&amp;"$A$3"):INDIRECT('LOCCS Import'!$F$3&amp;"$O$54"),7,)</f>
        <v>3.03</v>
      </c>
      <c r="Z16" s="60">
        <f ca="1">VLOOKUP(A16,INDIRECT('LOCCS Import'!$E$3&amp;"$A$3"):INDIRECT('LOCCS Import'!$E$3&amp;"$O$54"),7,)</f>
        <v>2.95</v>
      </c>
      <c r="AA16" s="60">
        <f>VLOOKUP(A16,template!$A$3:$P$54,7,)</f>
        <v>3.87</v>
      </c>
      <c r="AB16" s="58">
        <f t="shared" ca="1" si="0"/>
        <v>3.87</v>
      </c>
      <c r="AC16" s="60">
        <f t="shared" ca="1" si="1"/>
        <v>2.95</v>
      </c>
      <c r="AD16" s="61">
        <f t="shared" ca="1" si="2"/>
        <v>3.2941666666666669</v>
      </c>
      <c r="AE16" s="84">
        <f t="shared" ca="1" si="3"/>
        <v>31</v>
      </c>
      <c r="AF16" s="138"/>
      <c r="AG16" s="3">
        <f ca="1">VLOOKUP(A16,INDIRECT('LOCCS Import'!$AA$3&amp;"$A$3"):INDIRECT('LOCCS Import'!$AA$3&amp;"$O$54"),8,)</f>
        <v>0.72</v>
      </c>
      <c r="AH16" s="1">
        <f ca="1">VLOOKUP(A16,INDIRECT('LOCCS Import'!$Z$3&amp;"$A$3"):INDIRECT('LOCCS Import'!$Z$3&amp;"$O$54"),8,)</f>
        <v>0.7</v>
      </c>
      <c r="AI16" s="1">
        <f ca="1">VLOOKUP(A16,INDIRECT('LOCCS Import'!$Y$3&amp;"$A$3"):INDIRECT('LOCCS Import'!$Y$3&amp;"$O$54"),8,)</f>
        <v>0.66</v>
      </c>
      <c r="AJ16" s="1">
        <f ca="1">VLOOKUP(A16,INDIRECT('LOCCS Import'!$X$3&amp;"$A$3"):INDIRECT('LOCCS Import'!$X$3&amp;"$O$54"),8,)</f>
        <v>0.69</v>
      </c>
      <c r="AK16" s="1">
        <f ca="1">VLOOKUP(A16,INDIRECT('LOCCS Import'!$W$3&amp;"$A$3"):INDIRECT('LOCCS Import'!$W$3&amp;"$O$54"),8,)</f>
        <v>0.67</v>
      </c>
      <c r="AL16" s="1">
        <f ca="1">VLOOKUP(A16,INDIRECT('LOCCS Import'!$V$3&amp;"$A$3"):INDIRECT('LOCCS Import'!$V$3&amp;"$O$54"),8,)</f>
        <v>0.69</v>
      </c>
      <c r="AM16" s="1">
        <f ca="1">VLOOKUP(A16,INDIRECT('LOCCS Import'!$U$3&amp;"$A$3"):INDIRECT('LOCCS Import'!$U$3&amp;"$O$54"),8,)</f>
        <v>0.69</v>
      </c>
      <c r="AN16" s="1">
        <f ca="1">VLOOKUP(A16,INDIRECT('LOCCS Import'!$T$3&amp;"$A$3"):INDIRECT('LOCCS Import'!$T$3&amp;"$O$54"),8,)</f>
        <v>0.8</v>
      </c>
      <c r="AO16" s="1">
        <f ca="1">VLOOKUP(A16,INDIRECT('LOCCS Import'!$S$3&amp;"$A$3"):INDIRECT('LOCCS Import'!$S$3&amp;"$O$54"),8,)</f>
        <v>0.81</v>
      </c>
      <c r="AP16" s="1">
        <f ca="1">VLOOKUP(A16,INDIRECT('LOCCS Import'!$R$3&amp;"$A$3"):INDIRECT('LOCCS Import'!$R$3&amp;"$O$54"),8,)</f>
        <v>0.85</v>
      </c>
      <c r="AQ16" s="1">
        <f ca="1">VLOOKUP(A16,INDIRECT('LOCCS Import'!$Q$3&amp;"$A$3"):INDIRECT('LOCCS Import'!$Q$3&amp;"$O$54"),8,)</f>
        <v>0.84</v>
      </c>
      <c r="AR16" s="1">
        <f ca="1">VLOOKUP(A16,INDIRECT('LOCCS Import'!$P$3&amp;"$A$3"):INDIRECT('LOCCS Import'!$P$3&amp;"$O$54"),8,)</f>
        <v>0.8</v>
      </c>
      <c r="AS16" s="1">
        <f ca="1">VLOOKUP(A16,INDIRECT('LOCCS Import'!$O$3&amp;"$A$3"):INDIRECT('LOCCS Import'!$O$3&amp;"$O$54"),8,)</f>
        <v>0.9</v>
      </c>
      <c r="AT16" s="1">
        <f ca="1">VLOOKUP(A16,INDIRECT('LOCCS Import'!$N$3&amp;"$A$3"):INDIRECT('LOCCS Import'!$N$3&amp;"$O$54"),8,)</f>
        <v>0.88</v>
      </c>
      <c r="AU16" s="1">
        <f ca="1">VLOOKUP(A16,INDIRECT('LOCCS Import'!$M$3&amp;"$A$3"):INDIRECT('LOCCS Import'!$M$3&amp;"$O$54"),8,)</f>
        <v>0.87</v>
      </c>
      <c r="AV16" s="1">
        <f ca="1">VLOOKUP(A16,INDIRECT('LOCCS Import'!$L$3&amp;"$A$3"):INDIRECT('LOCCS Import'!$L$3&amp;"$O$54"),8,)</f>
        <v>0.84</v>
      </c>
      <c r="AW16" s="1">
        <f ca="1">VLOOKUP(A16,INDIRECT('LOCCS Import'!$K$3&amp;"$A$3"):INDIRECT('LOCCS Import'!$K$3&amp;"$O$54"),8,)</f>
        <v>0.85</v>
      </c>
      <c r="AX16" s="1">
        <f ca="1">VLOOKUP(A16,INDIRECT('LOCCS Import'!$J$3&amp;"$A$3"):INDIRECT('LOCCS Import'!$J$3&amp;"$O$54"),8,)</f>
        <v>0.81</v>
      </c>
      <c r="AY16" s="1">
        <f ca="1">VLOOKUP(A16,INDIRECT('LOCCS Import'!$I$3&amp;"$A$3"):INDIRECT('LOCCS Import'!$I$3&amp;"$O$54"),8,)</f>
        <v>0.8</v>
      </c>
      <c r="AZ16" s="1">
        <f ca="1">VLOOKUP(A16,INDIRECT('LOCCS Import'!$H$3&amp;"$A$3"):INDIRECT('LOCCS Import'!$H$3&amp;"$O$54"),8,)</f>
        <v>0.75</v>
      </c>
      <c r="BA16" s="1">
        <f ca="1">VLOOKUP(A16,INDIRECT('LOCCS Import'!$G$3&amp;"$A$3"):INDIRECT('LOCCS Import'!$G$3&amp;"$O$54"),8,)</f>
        <v>0.74</v>
      </c>
      <c r="BB16" s="1">
        <f ca="1">VLOOKUP(A16,INDIRECT('LOCCS Import'!$F$3&amp;"$A$3"):INDIRECT('LOCCS Import'!$F$3&amp;"$O$54"),8,)</f>
        <v>0.72</v>
      </c>
      <c r="BC16" s="1">
        <f ca="1">VLOOKUP(A16,INDIRECT('LOCCS Import'!$E$3&amp;"$A$3"):INDIRECT('LOCCS Import'!$E$3&amp;"$O$54"),8,)</f>
        <v>0.72</v>
      </c>
      <c r="BD16" s="2">
        <f>VLOOKUP(A16,template!$A$3:$P$54,8,)</f>
        <v>0.73</v>
      </c>
      <c r="BE16" s="2">
        <f t="shared" ca="1" si="4"/>
        <v>0.8008333333333334</v>
      </c>
      <c r="BF16" s="115">
        <f t="shared" ca="1" si="5"/>
        <v>43</v>
      </c>
    </row>
    <row r="17" spans="1:58" x14ac:dyDescent="0.3">
      <c r="A17" s="67" t="s">
        <v>29</v>
      </c>
      <c r="B17" s="64" t="s">
        <v>70</v>
      </c>
      <c r="C17" s="64" t="s">
        <v>96</v>
      </c>
      <c r="D17" s="60">
        <f ca="1">VLOOKUP(A17,INDIRECT('LOCCS Import'!$AA$3&amp;"$A$3"):INDIRECT('LOCCS Import'!$AA$3&amp;"$O$54"),7,)</f>
        <v>2.13</v>
      </c>
      <c r="E17" s="60">
        <f ca="1">VLOOKUP(A17,INDIRECT('LOCCS Import'!$Z$3&amp;"$A$3"):INDIRECT('LOCCS Import'!$Z$3&amp;"$O$54"),7,)</f>
        <v>3.07</v>
      </c>
      <c r="F17" s="60">
        <f ca="1">VLOOKUP(A17,INDIRECT('LOCCS Import'!$Y$3&amp;"$A$3"):INDIRECT('LOCCS Import'!$Y$3&amp;"$O$54"),7,)</f>
        <v>3.01</v>
      </c>
      <c r="G17" s="60">
        <f ca="1">VLOOKUP(A17,INDIRECT('LOCCS Import'!$X$3&amp;"$A$3"):INDIRECT('LOCCS Import'!$X$3&amp;"$O$54"),7,)</f>
        <v>2.9</v>
      </c>
      <c r="H17" s="60">
        <f ca="1">VLOOKUP(A17,INDIRECT('LOCCS Import'!$W$3&amp;"$A$3"):INDIRECT('LOCCS Import'!$W$3&amp;"$O$54"),7,)</f>
        <v>2.87</v>
      </c>
      <c r="I17" s="60">
        <f ca="1">VLOOKUP(A17,INDIRECT('LOCCS Import'!$V$3&amp;"$A$3"):INDIRECT('LOCCS Import'!$V$3&amp;"$O$54"),7,)</f>
        <v>2.83</v>
      </c>
      <c r="J17" s="60">
        <f ca="1">VLOOKUP(A17,INDIRECT('LOCCS Import'!$U$3&amp;"$A$3"):INDIRECT('LOCCS Import'!$U$3&amp;"$O$54"),7,)</f>
        <v>2.83</v>
      </c>
      <c r="K17" s="60">
        <f ca="1">VLOOKUP(A17,INDIRECT('LOCCS Import'!$T$3&amp;"$A$3"):INDIRECT('LOCCS Import'!$T$3&amp;"$O$54"),7,)</f>
        <v>2.76</v>
      </c>
      <c r="L17" s="60">
        <f ca="1">VLOOKUP(A17,INDIRECT('LOCCS Import'!$S$3&amp;"$A$3"):INDIRECT('LOCCS Import'!$S$3&amp;"$O$54"),7,)</f>
        <v>2.76</v>
      </c>
      <c r="M17" s="60">
        <f ca="1">VLOOKUP(A17,INDIRECT('LOCCS Import'!$R$3&amp;"$A$3"):INDIRECT('LOCCS Import'!$R$3&amp;"$O$54"),7,)</f>
        <v>2.76</v>
      </c>
      <c r="N17" s="60">
        <f ca="1">VLOOKUP(A17,INDIRECT('LOCCS Import'!$Q$3&amp;"$A$3"):INDIRECT('LOCCS Import'!$Q$3&amp;"$O$54"),7,)</f>
        <v>2.5499999999999998</v>
      </c>
      <c r="O17" s="60">
        <f ca="1">VLOOKUP(A17,INDIRECT('LOCCS Import'!$P$3&amp;"$A$3"):INDIRECT('LOCCS Import'!$P$3&amp;"$O$54"),7,)</f>
        <v>3.46</v>
      </c>
      <c r="P17" s="60">
        <f ca="1">VLOOKUP(A17,INDIRECT('LOCCS Import'!$O$3&amp;"$A$3"):INDIRECT('LOCCS Import'!$O$3&amp;"$O$54"),7,)</f>
        <v>3.45</v>
      </c>
      <c r="Q17" s="60">
        <f ca="1">VLOOKUP(A17,INDIRECT('LOCCS Import'!$N$3&amp;"$A$3"):INDIRECT('LOCCS Import'!$N$3&amp;"$O$54"),7,)</f>
        <v>3.39</v>
      </c>
      <c r="R17" s="60">
        <f ca="1">VLOOKUP(A17,INDIRECT('LOCCS Import'!$M$3&amp;"$A$3"):INDIRECT('LOCCS Import'!$M$3&amp;"$O$54"),7,)</f>
        <v>3.34</v>
      </c>
      <c r="S17" s="60">
        <f ca="1">VLOOKUP(A17,INDIRECT('LOCCS Import'!$L$3&amp;"$A$3"):INDIRECT('LOCCS Import'!$L$3&amp;"$O$54"),7,)</f>
        <v>3.31</v>
      </c>
      <c r="T17" s="60">
        <f ca="1">VLOOKUP(A17,INDIRECT('LOCCS Import'!$K$3&amp;"$A$3"):INDIRECT('LOCCS Import'!$K$3&amp;"$O$54"),7,)</f>
        <v>3.27</v>
      </c>
      <c r="U17" s="60">
        <f ca="1">VLOOKUP(A17,INDIRECT('LOCCS Import'!$J$3&amp;"$A$3"):INDIRECT('LOCCS Import'!$J$3&amp;"$O$54"),7,)</f>
        <v>3.21</v>
      </c>
      <c r="V17" s="60">
        <f ca="1">VLOOKUP(A17,INDIRECT('LOCCS Import'!$I$3&amp;"$A$3"):INDIRECT('LOCCS Import'!$I$3&amp;"$O$54"),7,)</f>
        <v>3.18</v>
      </c>
      <c r="W17" s="60">
        <f ca="1">VLOOKUP(A17,INDIRECT('LOCCS Import'!$H$3&amp;"$A$3"):INDIRECT('LOCCS Import'!$H$3&amp;"$O$54"),7,)</f>
        <v>3.14</v>
      </c>
      <c r="X17" s="60">
        <f ca="1">VLOOKUP(A17,INDIRECT('LOCCS Import'!$G$3&amp;"$A$3"):INDIRECT('LOCCS Import'!$G$3&amp;"$O$54"),7,)</f>
        <v>3</v>
      </c>
      <c r="Y17" s="60">
        <f ca="1">VLOOKUP(A17,INDIRECT('LOCCS Import'!$F$3&amp;"$A$3"):INDIRECT('LOCCS Import'!$F$3&amp;"$O$54"),7,)</f>
        <v>2.95</v>
      </c>
      <c r="Z17" s="60">
        <f ca="1">VLOOKUP(A17,INDIRECT('LOCCS Import'!$E$3&amp;"$A$3"):INDIRECT('LOCCS Import'!$E$3&amp;"$O$54"),7,)</f>
        <v>2.92</v>
      </c>
      <c r="AA17" s="60">
        <f>VLOOKUP(A17,template!$A$3:$P$54,7,)</f>
        <v>3.76</v>
      </c>
      <c r="AB17" s="58">
        <f t="shared" ca="1" si="0"/>
        <v>3.76</v>
      </c>
      <c r="AC17" s="60">
        <f t="shared" ca="1" si="1"/>
        <v>2.92</v>
      </c>
      <c r="AD17" s="61">
        <f t="shared" ca="1" si="2"/>
        <v>3.2433333333333336</v>
      </c>
      <c r="AE17" s="84">
        <f t="shared" ca="1" si="3"/>
        <v>29</v>
      </c>
      <c r="AF17" s="138"/>
      <c r="AG17" s="3">
        <f ca="1">VLOOKUP(A17,INDIRECT('LOCCS Import'!$AA$3&amp;"$A$3"):INDIRECT('LOCCS Import'!$AA$3&amp;"$O$54"),8,)</f>
        <v>0.77</v>
      </c>
      <c r="AH17" s="1">
        <f ca="1">VLOOKUP(A17,INDIRECT('LOCCS Import'!$Z$3&amp;"$A$3"):INDIRECT('LOCCS Import'!$Z$3&amp;"$O$54"),8,)</f>
        <v>0.82</v>
      </c>
      <c r="AI17" s="1">
        <f ca="1">VLOOKUP(A17,INDIRECT('LOCCS Import'!$Y$3&amp;"$A$3"):INDIRECT('LOCCS Import'!$Y$3&amp;"$O$54"),8,)</f>
        <v>0.78</v>
      </c>
      <c r="AJ17" s="1">
        <f ca="1">VLOOKUP(A17,INDIRECT('LOCCS Import'!$X$3&amp;"$A$3"):INDIRECT('LOCCS Import'!$X$3&amp;"$O$54"),8,)</f>
        <v>0.79</v>
      </c>
      <c r="AK17" s="1">
        <f ca="1">VLOOKUP(A17,INDIRECT('LOCCS Import'!$W$3&amp;"$A$3"):INDIRECT('LOCCS Import'!$W$3&amp;"$O$54"),8,)</f>
        <v>0.72</v>
      </c>
      <c r="AL17" s="1">
        <f ca="1">VLOOKUP(A17,INDIRECT('LOCCS Import'!$V$3&amp;"$A$3"):INDIRECT('LOCCS Import'!$V$3&amp;"$O$54"),8,)</f>
        <v>0.68</v>
      </c>
      <c r="AM17" s="1">
        <f ca="1">VLOOKUP(A17,INDIRECT('LOCCS Import'!$U$3&amp;"$A$3"):INDIRECT('LOCCS Import'!$U$3&amp;"$O$54"),8,)</f>
        <v>0.68</v>
      </c>
      <c r="AN17" s="1">
        <f ca="1">VLOOKUP(A17,INDIRECT('LOCCS Import'!$T$3&amp;"$A$3"):INDIRECT('LOCCS Import'!$T$3&amp;"$O$54"),8,)</f>
        <v>0.65</v>
      </c>
      <c r="AO17" s="1">
        <f ca="1">VLOOKUP(A17,INDIRECT('LOCCS Import'!$S$3&amp;"$A$3"):INDIRECT('LOCCS Import'!$S$3&amp;"$O$54"),8,)</f>
        <v>0.56999999999999995</v>
      </c>
      <c r="AP17" s="1">
        <f ca="1">VLOOKUP(A17,INDIRECT('LOCCS Import'!$R$3&amp;"$A$3"):INDIRECT('LOCCS Import'!$R$3&amp;"$O$54"),8,)</f>
        <v>0.56000000000000005</v>
      </c>
      <c r="AQ17" s="1">
        <f ca="1">VLOOKUP(A17,INDIRECT('LOCCS Import'!$Q$3&amp;"$A$3"):INDIRECT('LOCCS Import'!$Q$3&amp;"$O$54"),8,)</f>
        <v>0.71</v>
      </c>
      <c r="AR17" s="1">
        <f ca="1">VLOOKUP(A17,INDIRECT('LOCCS Import'!$P$3&amp;"$A$3"):INDIRECT('LOCCS Import'!$P$3&amp;"$O$54"),8,)</f>
        <v>0.67</v>
      </c>
      <c r="AS17" s="1">
        <f ca="1">VLOOKUP(A17,INDIRECT('LOCCS Import'!$O$3&amp;"$A$3"):INDIRECT('LOCCS Import'!$O$3&amp;"$O$54"),8,)</f>
        <v>0.66</v>
      </c>
      <c r="AT17" s="1">
        <f ca="1">VLOOKUP(A17,INDIRECT('LOCCS Import'!$N$3&amp;"$A$3"):INDIRECT('LOCCS Import'!$N$3&amp;"$O$54"),8,)</f>
        <v>0.66</v>
      </c>
      <c r="AU17" s="1">
        <f ca="1">VLOOKUP(A17,INDIRECT('LOCCS Import'!$M$3&amp;"$A$3"):INDIRECT('LOCCS Import'!$M$3&amp;"$O$54"),8,)</f>
        <v>0.65</v>
      </c>
      <c r="AV17" s="1">
        <f ca="1">VLOOKUP(A17,INDIRECT('LOCCS Import'!$L$3&amp;"$A$3"):INDIRECT('LOCCS Import'!$L$3&amp;"$O$54"),8,)</f>
        <v>0.56000000000000005</v>
      </c>
      <c r="AW17" s="1">
        <f ca="1">VLOOKUP(A17,INDIRECT('LOCCS Import'!$K$3&amp;"$A$3"):INDIRECT('LOCCS Import'!$K$3&amp;"$O$54"),8,)</f>
        <v>0.57999999999999996</v>
      </c>
      <c r="AX17" s="1">
        <f ca="1">VLOOKUP(A17,INDIRECT('LOCCS Import'!$J$3&amp;"$A$3"):INDIRECT('LOCCS Import'!$J$3&amp;"$O$54"),8,)</f>
        <v>0.6</v>
      </c>
      <c r="AY17" s="1">
        <f ca="1">VLOOKUP(A17,INDIRECT('LOCCS Import'!$I$3&amp;"$A$3"):INDIRECT('LOCCS Import'!$I$3&amp;"$O$54"),8,)</f>
        <v>0.61</v>
      </c>
      <c r="AZ17" s="1">
        <f ca="1">VLOOKUP(A17,INDIRECT('LOCCS Import'!$H$3&amp;"$A$3"):INDIRECT('LOCCS Import'!$H$3&amp;"$O$54"),8,)</f>
        <v>0.61</v>
      </c>
      <c r="BA17" s="1">
        <f ca="1">VLOOKUP(A17,INDIRECT('LOCCS Import'!$G$3&amp;"$A$3"):INDIRECT('LOCCS Import'!$G$3&amp;"$O$54"),8,)</f>
        <v>0.74</v>
      </c>
      <c r="BB17" s="1">
        <f ca="1">VLOOKUP(A17,INDIRECT('LOCCS Import'!$F$3&amp;"$A$3"):INDIRECT('LOCCS Import'!$F$3&amp;"$O$54"),8,)</f>
        <v>0.8</v>
      </c>
      <c r="BC17" s="1">
        <f ca="1">VLOOKUP(A17,INDIRECT('LOCCS Import'!$E$3&amp;"$A$3"):INDIRECT('LOCCS Import'!$E$3&amp;"$O$54"),8,)</f>
        <v>0.61</v>
      </c>
      <c r="BD17" s="2">
        <f>VLOOKUP(A17,template!$A$3:$P$54,8,)</f>
        <v>0.55000000000000004</v>
      </c>
      <c r="BE17" s="2">
        <f t="shared" ca="1" si="4"/>
        <v>0.63583333333333336</v>
      </c>
      <c r="BF17" s="115">
        <f t="shared" ca="1" si="5"/>
        <v>49</v>
      </c>
    </row>
    <row r="18" spans="1:58" x14ac:dyDescent="0.3">
      <c r="A18" s="67" t="s">
        <v>30</v>
      </c>
      <c r="B18" s="64" t="s">
        <v>73</v>
      </c>
      <c r="C18" s="64" t="s">
        <v>97</v>
      </c>
      <c r="D18" s="60">
        <f ca="1">VLOOKUP(A18,INDIRECT('LOCCS Import'!$AA$3&amp;"$A$3"):INDIRECT('LOCCS Import'!$AA$3&amp;"$O$54"),7,)</f>
        <v>4.2699999999999996</v>
      </c>
      <c r="E18" s="60">
        <f ca="1">VLOOKUP(A18,INDIRECT('LOCCS Import'!$Z$3&amp;"$A$3"):INDIRECT('LOCCS Import'!$Z$3&amp;"$O$54"),7,)</f>
        <v>4.2</v>
      </c>
      <c r="F18" s="60">
        <f ca="1">VLOOKUP(A18,INDIRECT('LOCCS Import'!$Y$3&amp;"$A$3"):INDIRECT('LOCCS Import'!$Y$3&amp;"$O$54"),7,)</f>
        <v>4.1399999999999997</v>
      </c>
      <c r="G18" s="60">
        <f ca="1">VLOOKUP(A18,INDIRECT('LOCCS Import'!$X$3&amp;"$A$3"):INDIRECT('LOCCS Import'!$X$3&amp;"$O$54"),7,)</f>
        <v>4.1100000000000003</v>
      </c>
      <c r="H18" s="60">
        <f ca="1">VLOOKUP(A18,INDIRECT('LOCCS Import'!$W$3&amp;"$A$3"):INDIRECT('LOCCS Import'!$W$3&amp;"$O$54"),7,)</f>
        <v>4.0199999999999996</v>
      </c>
      <c r="I18" s="60">
        <f ca="1">VLOOKUP(A18,INDIRECT('LOCCS Import'!$V$3&amp;"$A$3"):INDIRECT('LOCCS Import'!$V$3&amp;"$O$54"),7,)</f>
        <v>3.95</v>
      </c>
      <c r="J18" s="60">
        <f ca="1">VLOOKUP(A18,INDIRECT('LOCCS Import'!$U$3&amp;"$A$3"):INDIRECT('LOCCS Import'!$U$3&amp;"$O$54"),7,)</f>
        <v>3.95</v>
      </c>
      <c r="K18" s="60">
        <f ca="1">VLOOKUP(A18,INDIRECT('LOCCS Import'!$T$3&amp;"$A$3"):INDIRECT('LOCCS Import'!$T$3&amp;"$O$54"),7,)</f>
        <v>3.83</v>
      </c>
      <c r="L18" s="60">
        <f ca="1">VLOOKUP(A18,INDIRECT('LOCCS Import'!$S$3&amp;"$A$3"):INDIRECT('LOCCS Import'!$S$3&amp;"$O$54"),7,)</f>
        <v>3.81</v>
      </c>
      <c r="M18" s="60">
        <f ca="1">VLOOKUP(A18,INDIRECT('LOCCS Import'!$R$3&amp;"$A$3"):INDIRECT('LOCCS Import'!$R$3&amp;"$O$54"),7,)</f>
        <v>3.71</v>
      </c>
      <c r="N18" s="60">
        <f ca="1">VLOOKUP(A18,INDIRECT('LOCCS Import'!$Q$3&amp;"$A$3"):INDIRECT('LOCCS Import'!$Q$3&amp;"$O$54"),7,)</f>
        <v>3.64</v>
      </c>
      <c r="O18" s="60">
        <f ca="1">VLOOKUP(A18,INDIRECT('LOCCS Import'!$P$3&amp;"$A$3"):INDIRECT('LOCCS Import'!$P$3&amp;"$O$54"),7,)</f>
        <v>4.5999999999999996</v>
      </c>
      <c r="P18" s="60">
        <f ca="1">VLOOKUP(A18,INDIRECT('LOCCS Import'!$O$3&amp;"$A$3"):INDIRECT('LOCCS Import'!$O$3&amp;"$O$54"),7,)</f>
        <v>4.5599999999999996</v>
      </c>
      <c r="Q18" s="60">
        <f ca="1">VLOOKUP(A18,INDIRECT('LOCCS Import'!$N$3&amp;"$A$3"):INDIRECT('LOCCS Import'!$N$3&amp;"$O$54"),7,)</f>
        <v>4.46</v>
      </c>
      <c r="R18" s="60">
        <f ca="1">VLOOKUP(A18,INDIRECT('LOCCS Import'!$M$3&amp;"$A$3"):INDIRECT('LOCCS Import'!$M$3&amp;"$O$54"),7,)</f>
        <v>4.3099999999999996</v>
      </c>
      <c r="S18" s="60">
        <f ca="1">VLOOKUP(A18,INDIRECT('LOCCS Import'!$L$3&amp;"$A$3"):INDIRECT('LOCCS Import'!$L$3&amp;"$O$54"),7,)</f>
        <v>4.28</v>
      </c>
      <c r="T18" s="60">
        <f ca="1">VLOOKUP(A18,INDIRECT('LOCCS Import'!$K$3&amp;"$A$3"):INDIRECT('LOCCS Import'!$K$3&amp;"$O$54"),7,)</f>
        <v>4.1900000000000004</v>
      </c>
      <c r="U18" s="60">
        <f ca="1">VLOOKUP(A18,INDIRECT('LOCCS Import'!$J$3&amp;"$A$3"):INDIRECT('LOCCS Import'!$J$3&amp;"$O$54"),7,)</f>
        <v>4.12</v>
      </c>
      <c r="V18" s="60">
        <f ca="1">VLOOKUP(A18,INDIRECT('LOCCS Import'!$I$3&amp;"$A$3"):INDIRECT('LOCCS Import'!$I$3&amp;"$O$54"),7,)</f>
        <v>4.0599999999999996</v>
      </c>
      <c r="W18" s="60">
        <f ca="1">VLOOKUP(A18,INDIRECT('LOCCS Import'!$H$3&amp;"$A$3"):INDIRECT('LOCCS Import'!$H$3&amp;"$O$54"),7,)</f>
        <v>4.0199999999999996</v>
      </c>
      <c r="X18" s="60">
        <f ca="1">VLOOKUP(A18,INDIRECT('LOCCS Import'!$G$3&amp;"$A$3"):INDIRECT('LOCCS Import'!$G$3&amp;"$O$54"),7,)</f>
        <v>3.98</v>
      </c>
      <c r="Y18" s="60">
        <f ca="1">VLOOKUP(A18,INDIRECT('LOCCS Import'!$F$3&amp;"$A$3"):INDIRECT('LOCCS Import'!$F$3&amp;"$O$54"),7,)</f>
        <v>3.85</v>
      </c>
      <c r="Z18" s="60">
        <f ca="1">VLOOKUP(A18,INDIRECT('LOCCS Import'!$E$3&amp;"$A$3"):INDIRECT('LOCCS Import'!$E$3&amp;"$O$54"),7,)</f>
        <v>3.81</v>
      </c>
      <c r="AA18" s="60">
        <f>VLOOKUP(A18,template!$A$3:$P$54,7,)</f>
        <v>3.76</v>
      </c>
      <c r="AB18" s="58">
        <f t="shared" ca="1" si="0"/>
        <v>4.5599999999999996</v>
      </c>
      <c r="AC18" s="60">
        <f t="shared" ca="1" si="1"/>
        <v>3.76</v>
      </c>
      <c r="AD18" s="61">
        <f t="shared" ca="1" si="2"/>
        <v>4.1166666666666663</v>
      </c>
      <c r="AE18" s="84">
        <f t="shared" ca="1" si="3"/>
        <v>41</v>
      </c>
      <c r="AF18" s="138"/>
      <c r="AG18" s="3">
        <f ca="1">VLOOKUP(A18,INDIRECT('LOCCS Import'!$AA$3&amp;"$A$3"):INDIRECT('LOCCS Import'!$AA$3&amp;"$O$54"),8,)</f>
        <v>0.76</v>
      </c>
      <c r="AH18" s="1">
        <f ca="1">VLOOKUP(A18,INDIRECT('LOCCS Import'!$Z$3&amp;"$A$3"):INDIRECT('LOCCS Import'!$Z$3&amp;"$O$54"),8,)</f>
        <v>0.82</v>
      </c>
      <c r="AI18" s="1">
        <f ca="1">VLOOKUP(A18,INDIRECT('LOCCS Import'!$Y$3&amp;"$A$3"):INDIRECT('LOCCS Import'!$Y$3&amp;"$O$54"),8,)</f>
        <v>0.81</v>
      </c>
      <c r="AJ18" s="1">
        <f ca="1">VLOOKUP(A18,INDIRECT('LOCCS Import'!$X$3&amp;"$A$3"):INDIRECT('LOCCS Import'!$X$3&amp;"$O$54"),8,)</f>
        <v>0.77</v>
      </c>
      <c r="AK18" s="1">
        <f ca="1">VLOOKUP(A18,INDIRECT('LOCCS Import'!$W$3&amp;"$A$3"):INDIRECT('LOCCS Import'!$W$3&amp;"$O$54"),8,)</f>
        <v>0.75</v>
      </c>
      <c r="AL18" s="1">
        <f ca="1">VLOOKUP(A18,INDIRECT('LOCCS Import'!$V$3&amp;"$A$3"):INDIRECT('LOCCS Import'!$V$3&amp;"$O$54"),8,)</f>
        <v>0.77</v>
      </c>
      <c r="AM18" s="1">
        <f ca="1">VLOOKUP(A18,INDIRECT('LOCCS Import'!$U$3&amp;"$A$3"):INDIRECT('LOCCS Import'!$U$3&amp;"$O$54"),8,)</f>
        <v>0.77</v>
      </c>
      <c r="AN18" s="1">
        <f ca="1">VLOOKUP(A18,INDIRECT('LOCCS Import'!$T$3&amp;"$A$3"):INDIRECT('LOCCS Import'!$T$3&amp;"$O$54"),8,)</f>
        <v>0.68</v>
      </c>
      <c r="AO18" s="1">
        <f ca="1">VLOOKUP(A18,INDIRECT('LOCCS Import'!$S$3&amp;"$A$3"):INDIRECT('LOCCS Import'!$S$3&amp;"$O$54"),8,)</f>
        <v>0.63</v>
      </c>
      <c r="AP18" s="1">
        <f ca="1">VLOOKUP(A18,INDIRECT('LOCCS Import'!$R$3&amp;"$A$3"):INDIRECT('LOCCS Import'!$R$3&amp;"$O$54"),8,)</f>
        <v>0.69</v>
      </c>
      <c r="AQ18" s="1">
        <f ca="1">VLOOKUP(A18,INDIRECT('LOCCS Import'!$Q$3&amp;"$A$3"):INDIRECT('LOCCS Import'!$Q$3&amp;"$O$54"),8,)</f>
        <v>0.73</v>
      </c>
      <c r="AR18" s="1">
        <f ca="1">VLOOKUP(A18,INDIRECT('LOCCS Import'!$P$3&amp;"$A$3"):INDIRECT('LOCCS Import'!$P$3&amp;"$O$54"),8,)</f>
        <v>0.79</v>
      </c>
      <c r="AS18" s="1">
        <f ca="1">VLOOKUP(A18,INDIRECT('LOCCS Import'!$O$3&amp;"$A$3"):INDIRECT('LOCCS Import'!$O$3&amp;"$O$54"),8,)</f>
        <v>0.79</v>
      </c>
      <c r="AT18" s="1">
        <f ca="1">VLOOKUP(A18,INDIRECT('LOCCS Import'!$N$3&amp;"$A$3"):INDIRECT('LOCCS Import'!$N$3&amp;"$O$54"),8,)</f>
        <v>0.82</v>
      </c>
      <c r="AU18" s="1">
        <f ca="1">VLOOKUP(A18,INDIRECT('LOCCS Import'!$M$3&amp;"$A$3"):INDIRECT('LOCCS Import'!$M$3&amp;"$O$54"),8,)</f>
        <v>0.82</v>
      </c>
      <c r="AV18" s="1">
        <f ca="1">VLOOKUP(A18,INDIRECT('LOCCS Import'!$L$3&amp;"$A$3"):INDIRECT('LOCCS Import'!$L$3&amp;"$O$54"),8,)</f>
        <v>0.81</v>
      </c>
      <c r="AW18" s="1">
        <f ca="1">VLOOKUP(A18,INDIRECT('LOCCS Import'!$K$3&amp;"$A$3"):INDIRECT('LOCCS Import'!$K$3&amp;"$O$54"),8,)</f>
        <v>0.82</v>
      </c>
      <c r="AX18" s="1">
        <f ca="1">VLOOKUP(A18,INDIRECT('LOCCS Import'!$J$3&amp;"$A$3"):INDIRECT('LOCCS Import'!$J$3&amp;"$O$54"),8,)</f>
        <v>0.82</v>
      </c>
      <c r="AY18" s="1">
        <f ca="1">VLOOKUP(A18,INDIRECT('LOCCS Import'!$I$3&amp;"$A$3"):INDIRECT('LOCCS Import'!$I$3&amp;"$O$54"),8,)</f>
        <v>0.83</v>
      </c>
      <c r="AZ18" s="1">
        <f ca="1">VLOOKUP(A18,INDIRECT('LOCCS Import'!$H$3&amp;"$A$3"):INDIRECT('LOCCS Import'!$H$3&amp;"$O$54"),8,)</f>
        <v>0.8</v>
      </c>
      <c r="BA18" s="1">
        <f ca="1">VLOOKUP(A18,INDIRECT('LOCCS Import'!$G$3&amp;"$A$3"):INDIRECT('LOCCS Import'!$G$3&amp;"$O$54"),8,)</f>
        <v>0.8</v>
      </c>
      <c r="BB18" s="1">
        <f ca="1">VLOOKUP(A18,INDIRECT('LOCCS Import'!$F$3&amp;"$A$3"):INDIRECT('LOCCS Import'!$F$3&amp;"$O$54"),8,)</f>
        <v>0.82</v>
      </c>
      <c r="BC18" s="1">
        <f ca="1">VLOOKUP(A18,INDIRECT('LOCCS Import'!$E$3&amp;"$A$3"):INDIRECT('LOCCS Import'!$E$3&amp;"$O$54"),8,)</f>
        <v>0.81</v>
      </c>
      <c r="BD18" s="2">
        <f>VLOOKUP(A18,template!$A$3:$P$54,8,)</f>
        <v>0.75</v>
      </c>
      <c r="BE18" s="2">
        <f t="shared" ca="1" si="4"/>
        <v>0.8075</v>
      </c>
      <c r="BF18" s="115">
        <f t="shared" ca="1" si="5"/>
        <v>40</v>
      </c>
    </row>
    <row r="19" spans="1:58" x14ac:dyDescent="0.3">
      <c r="A19" s="67" t="s">
        <v>31</v>
      </c>
      <c r="B19" s="64" t="s">
        <v>72</v>
      </c>
      <c r="C19" s="64" t="s">
        <v>98</v>
      </c>
      <c r="D19" s="60">
        <f ca="1">VLOOKUP(A19,INDIRECT('LOCCS Import'!$AA$3&amp;"$A$3"):INDIRECT('LOCCS Import'!$AA$3&amp;"$O$54"),7,)</f>
        <v>2.82</v>
      </c>
      <c r="E19" s="60">
        <f ca="1">VLOOKUP(A19,INDIRECT('LOCCS Import'!$Z$3&amp;"$A$3"):INDIRECT('LOCCS Import'!$Z$3&amp;"$O$54"),7,)</f>
        <v>2.74</v>
      </c>
      <c r="F19" s="60">
        <f ca="1">VLOOKUP(A19,INDIRECT('LOCCS Import'!$Y$3&amp;"$A$3"):INDIRECT('LOCCS Import'!$Y$3&amp;"$O$54"),7,)</f>
        <v>2.62</v>
      </c>
      <c r="G19" s="60">
        <f ca="1">VLOOKUP(A19,INDIRECT('LOCCS Import'!$X$3&amp;"$A$3"):INDIRECT('LOCCS Import'!$X$3&amp;"$O$54"),7,)</f>
        <v>2.52</v>
      </c>
      <c r="H19" s="60">
        <f ca="1">VLOOKUP(A19,INDIRECT('LOCCS Import'!$W$3&amp;"$A$3"):INDIRECT('LOCCS Import'!$W$3&amp;"$O$54"),7,)</f>
        <v>2.41</v>
      </c>
      <c r="I19" s="60">
        <f ca="1">VLOOKUP(A19,INDIRECT('LOCCS Import'!$V$3&amp;"$A$3"):INDIRECT('LOCCS Import'!$V$3&amp;"$O$54"),7,)</f>
        <v>2.34</v>
      </c>
      <c r="J19" s="60">
        <f ca="1">VLOOKUP(A19,INDIRECT('LOCCS Import'!$U$3&amp;"$A$3"):INDIRECT('LOCCS Import'!$U$3&amp;"$O$54"),7,)</f>
        <v>2.34</v>
      </c>
      <c r="K19" s="60">
        <f ca="1">VLOOKUP(A19,INDIRECT('LOCCS Import'!$T$3&amp;"$A$3"):INDIRECT('LOCCS Import'!$T$3&amp;"$O$54"),7,)</f>
        <v>2.2000000000000002</v>
      </c>
      <c r="L19" s="60">
        <f ca="1">VLOOKUP(A19,INDIRECT('LOCCS Import'!$S$3&amp;"$A$3"):INDIRECT('LOCCS Import'!$S$3&amp;"$O$54"),7,)</f>
        <v>2.15</v>
      </c>
      <c r="M19" s="60">
        <f ca="1">VLOOKUP(A19,INDIRECT('LOCCS Import'!$R$3&amp;"$A$3"):INDIRECT('LOCCS Import'!$R$3&amp;"$O$54"),7,)</f>
        <v>2.09</v>
      </c>
      <c r="N19" s="60">
        <f ca="1">VLOOKUP(A19,INDIRECT('LOCCS Import'!$Q$3&amp;"$A$3"):INDIRECT('LOCCS Import'!$Q$3&amp;"$O$54"),7,)</f>
        <v>2</v>
      </c>
      <c r="O19" s="60">
        <f ca="1">VLOOKUP(A19,INDIRECT('LOCCS Import'!$P$3&amp;"$A$3"):INDIRECT('LOCCS Import'!$P$3&amp;"$O$54"),7,)</f>
        <v>1.97</v>
      </c>
      <c r="P19" s="60">
        <f ca="1">VLOOKUP(A19,INDIRECT('LOCCS Import'!$O$3&amp;"$A$3"):INDIRECT('LOCCS Import'!$O$3&amp;"$O$54"),7,)</f>
        <v>1.82</v>
      </c>
      <c r="Q19" s="60">
        <f ca="1">VLOOKUP(A19,INDIRECT('LOCCS Import'!$N$3&amp;"$A$3"):INDIRECT('LOCCS Import'!$N$3&amp;"$O$54"),7,)</f>
        <v>1.78</v>
      </c>
      <c r="R19" s="60">
        <f ca="1">VLOOKUP(A19,INDIRECT('LOCCS Import'!$M$3&amp;"$A$3"):INDIRECT('LOCCS Import'!$M$3&amp;"$O$54"),7,)</f>
        <v>2.6</v>
      </c>
      <c r="S19" s="60">
        <f ca="1">VLOOKUP(A19,INDIRECT('LOCCS Import'!$L$3&amp;"$A$3"):INDIRECT('LOCCS Import'!$L$3&amp;"$O$54"),7,)</f>
        <v>2.58</v>
      </c>
      <c r="T19" s="60">
        <f ca="1">VLOOKUP(A19,INDIRECT('LOCCS Import'!$K$3&amp;"$A$3"):INDIRECT('LOCCS Import'!$K$3&amp;"$O$54"),7,)</f>
        <v>2.4900000000000002</v>
      </c>
      <c r="U19" s="60">
        <f ca="1">VLOOKUP(A19,INDIRECT('LOCCS Import'!$J$3&amp;"$A$3"):INDIRECT('LOCCS Import'!$J$3&amp;"$O$54"),7,)</f>
        <v>2.44</v>
      </c>
      <c r="V19" s="60">
        <f ca="1">VLOOKUP(A19,INDIRECT('LOCCS Import'!$I$3&amp;"$A$3"):INDIRECT('LOCCS Import'!$I$3&amp;"$O$54"),7,)</f>
        <v>2.41</v>
      </c>
      <c r="W19" s="60">
        <f ca="1">VLOOKUP(A19,INDIRECT('LOCCS Import'!$H$3&amp;"$A$3"):INDIRECT('LOCCS Import'!$H$3&amp;"$O$54"),7,)</f>
        <v>2.33</v>
      </c>
      <c r="X19" s="60">
        <f ca="1">VLOOKUP(A19,INDIRECT('LOCCS Import'!$G$3&amp;"$A$3"):INDIRECT('LOCCS Import'!$G$3&amp;"$O$54"),7,)</f>
        <v>2.2599999999999998</v>
      </c>
      <c r="Y19" s="60">
        <f ca="1">VLOOKUP(A19,INDIRECT('LOCCS Import'!$F$3&amp;"$A$3"):INDIRECT('LOCCS Import'!$F$3&amp;"$O$54"),7,)</f>
        <v>2.17</v>
      </c>
      <c r="Z19" s="60">
        <f ca="1">VLOOKUP(A19,INDIRECT('LOCCS Import'!$E$3&amp;"$A$3"):INDIRECT('LOCCS Import'!$E$3&amp;"$O$54"),7,)</f>
        <v>2.12</v>
      </c>
      <c r="AA19" s="60">
        <f>VLOOKUP(A19,template!$A$3:$P$54,7,)</f>
        <v>2.0299999999999998</v>
      </c>
      <c r="AB19" s="58">
        <f t="shared" ca="1" si="0"/>
        <v>2.6</v>
      </c>
      <c r="AC19" s="60">
        <f t="shared" ca="1" si="1"/>
        <v>1.78</v>
      </c>
      <c r="AD19" s="61">
        <f t="shared" ca="1" si="2"/>
        <v>2.2525000000000004</v>
      </c>
      <c r="AE19" s="84">
        <f t="shared" ca="1" si="3"/>
        <v>11</v>
      </c>
      <c r="AF19" s="138"/>
      <c r="AG19" s="3">
        <f ca="1">VLOOKUP(A19,INDIRECT('LOCCS Import'!$AA$3&amp;"$A$3"):INDIRECT('LOCCS Import'!$AA$3&amp;"$O$54"),8,)</f>
        <v>1.05</v>
      </c>
      <c r="AH19" s="1">
        <f ca="1">VLOOKUP(A19,INDIRECT('LOCCS Import'!$Z$3&amp;"$A$3"):INDIRECT('LOCCS Import'!$Z$3&amp;"$O$54"),8,)</f>
        <v>1.03</v>
      </c>
      <c r="AI19" s="1">
        <f ca="1">VLOOKUP(A19,INDIRECT('LOCCS Import'!$Y$3&amp;"$A$3"):INDIRECT('LOCCS Import'!$Y$3&amp;"$O$54"),8,)</f>
        <v>1.05</v>
      </c>
      <c r="AJ19" s="1">
        <f ca="1">VLOOKUP(A19,INDIRECT('LOCCS Import'!$X$3&amp;"$A$3"):INDIRECT('LOCCS Import'!$X$3&amp;"$O$54"),8,)</f>
        <v>1.0900000000000001</v>
      </c>
      <c r="AK19" s="1">
        <f ca="1">VLOOKUP(A19,INDIRECT('LOCCS Import'!$W$3&amp;"$A$3"):INDIRECT('LOCCS Import'!$W$3&amp;"$O$54"),8,)</f>
        <v>1.1299999999999999</v>
      </c>
      <c r="AL19" s="1">
        <f ca="1">VLOOKUP(A19,INDIRECT('LOCCS Import'!$V$3&amp;"$A$3"):INDIRECT('LOCCS Import'!$V$3&amp;"$O$54"),8,)</f>
        <v>1.1299999999999999</v>
      </c>
      <c r="AM19" s="1">
        <f ca="1">VLOOKUP(A19,INDIRECT('LOCCS Import'!$U$3&amp;"$A$3"):INDIRECT('LOCCS Import'!$U$3&amp;"$O$54"),8,)</f>
        <v>1.1299999999999999</v>
      </c>
      <c r="AN19" s="1">
        <f ca="1">VLOOKUP(A19,INDIRECT('LOCCS Import'!$T$3&amp;"$A$3"):INDIRECT('LOCCS Import'!$T$3&amp;"$O$54"),8,)</f>
        <v>1.1000000000000001</v>
      </c>
      <c r="AO19" s="1">
        <f ca="1">VLOOKUP(A19,INDIRECT('LOCCS Import'!$S$3&amp;"$A$3"):INDIRECT('LOCCS Import'!$S$3&amp;"$O$54"),8,)</f>
        <v>1.1100000000000001</v>
      </c>
      <c r="AP19" s="1">
        <f ca="1">VLOOKUP(A19,INDIRECT('LOCCS Import'!$R$3&amp;"$A$3"):INDIRECT('LOCCS Import'!$R$3&amp;"$O$54"),8,)</f>
        <v>1.1000000000000001</v>
      </c>
      <c r="AQ19" s="1">
        <f ca="1">VLOOKUP(A19,INDIRECT('LOCCS Import'!$Q$3&amp;"$A$3"):INDIRECT('LOCCS Import'!$Q$3&amp;"$O$54"),8,)</f>
        <v>1.02</v>
      </c>
      <c r="AR19" s="1">
        <f ca="1">VLOOKUP(A19,INDIRECT('LOCCS Import'!$P$3&amp;"$A$3"):INDIRECT('LOCCS Import'!$P$3&amp;"$O$54"),8,)</f>
        <v>0.94</v>
      </c>
      <c r="AS19" s="1">
        <f ca="1">VLOOKUP(A19,INDIRECT('LOCCS Import'!$O$3&amp;"$A$3"):INDIRECT('LOCCS Import'!$O$3&amp;"$O$54"),8,)</f>
        <v>1</v>
      </c>
      <c r="AT19" s="1">
        <f ca="1">VLOOKUP(A19,INDIRECT('LOCCS Import'!$N$3&amp;"$A$3"):INDIRECT('LOCCS Import'!$N$3&amp;"$O$54"),8,)</f>
        <v>0.96</v>
      </c>
      <c r="AU19" s="1">
        <f ca="1">VLOOKUP(A19,INDIRECT('LOCCS Import'!$M$3&amp;"$A$3"):INDIRECT('LOCCS Import'!$M$3&amp;"$O$54"),8,)</f>
        <v>0.96</v>
      </c>
      <c r="AV19" s="1">
        <f ca="1">VLOOKUP(A19,INDIRECT('LOCCS Import'!$L$3&amp;"$A$3"):INDIRECT('LOCCS Import'!$L$3&amp;"$O$54"),8,)</f>
        <v>0.91</v>
      </c>
      <c r="AW19" s="1">
        <f ca="1">VLOOKUP(A19,INDIRECT('LOCCS Import'!$K$3&amp;"$A$3"):INDIRECT('LOCCS Import'!$K$3&amp;"$O$54"),8,)</f>
        <v>0.89</v>
      </c>
      <c r="AX19" s="1">
        <f ca="1">VLOOKUP(A19,INDIRECT('LOCCS Import'!$J$3&amp;"$A$3"):INDIRECT('LOCCS Import'!$J$3&amp;"$O$54"),8,)</f>
        <v>0.87</v>
      </c>
      <c r="AY19" s="1">
        <f ca="1">VLOOKUP(A19,INDIRECT('LOCCS Import'!$I$3&amp;"$A$3"):INDIRECT('LOCCS Import'!$I$3&amp;"$O$54"),8,)</f>
        <v>0.81</v>
      </c>
      <c r="AZ19" s="1">
        <f ca="1">VLOOKUP(A19,INDIRECT('LOCCS Import'!$H$3&amp;"$A$3"):INDIRECT('LOCCS Import'!$H$3&amp;"$O$54"),8,)</f>
        <v>0.84</v>
      </c>
      <c r="BA19" s="1">
        <f ca="1">VLOOKUP(A19,INDIRECT('LOCCS Import'!$G$3&amp;"$A$3"):INDIRECT('LOCCS Import'!$G$3&amp;"$O$54"),8,)</f>
        <v>0.87</v>
      </c>
      <c r="BB19" s="1">
        <f ca="1">VLOOKUP(A19,INDIRECT('LOCCS Import'!$F$3&amp;"$A$3"):INDIRECT('LOCCS Import'!$F$3&amp;"$O$54"),8,)</f>
        <v>0.89</v>
      </c>
      <c r="BC19" s="1">
        <f ca="1">VLOOKUP(A19,INDIRECT('LOCCS Import'!$E$3&amp;"$A$3"):INDIRECT('LOCCS Import'!$E$3&amp;"$O$54"),8,)</f>
        <v>0.86</v>
      </c>
      <c r="BD19" s="2">
        <f>VLOOKUP(A19,template!$A$3:$P$54,8,)</f>
        <v>0.91</v>
      </c>
      <c r="BE19" s="2">
        <f t="shared" ca="1" si="4"/>
        <v>0.89749999999999996</v>
      </c>
      <c r="BF19" s="115">
        <f t="shared" ca="1" si="5"/>
        <v>26</v>
      </c>
    </row>
    <row r="20" spans="1:58" x14ac:dyDescent="0.3">
      <c r="A20" s="67" t="s">
        <v>32</v>
      </c>
      <c r="B20" s="64" t="s">
        <v>70</v>
      </c>
      <c r="C20" s="64" t="s">
        <v>99</v>
      </c>
      <c r="D20" s="60">
        <f ca="1">VLOOKUP(A20,INDIRECT('LOCCS Import'!$AA$3&amp;"$A$3"):INDIRECT('LOCCS Import'!$AA$3&amp;"$O$54"),7,)</f>
        <v>2.31</v>
      </c>
      <c r="E20" s="60">
        <f ca="1">VLOOKUP(A20,INDIRECT('LOCCS Import'!$Z$3&amp;"$A$3"):INDIRECT('LOCCS Import'!$Z$3&amp;"$O$54"),7,)</f>
        <v>2.23</v>
      </c>
      <c r="F20" s="60">
        <f ca="1">VLOOKUP(A20,INDIRECT('LOCCS Import'!$Y$3&amp;"$A$3"):INDIRECT('LOCCS Import'!$Y$3&amp;"$O$54"),7,)</f>
        <v>2.17</v>
      </c>
      <c r="G20" s="60">
        <f ca="1">VLOOKUP(A20,INDIRECT('LOCCS Import'!$X$3&amp;"$A$3"):INDIRECT('LOCCS Import'!$X$3&amp;"$O$54"),7,)</f>
        <v>1.96</v>
      </c>
      <c r="H20" s="60">
        <f ca="1">VLOOKUP(A20,INDIRECT('LOCCS Import'!$W$3&amp;"$A$3"):INDIRECT('LOCCS Import'!$W$3&amp;"$O$54"),7,)</f>
        <v>1.94</v>
      </c>
      <c r="I20" s="60">
        <f ca="1">VLOOKUP(A20,INDIRECT('LOCCS Import'!$V$3&amp;"$A$3"):INDIRECT('LOCCS Import'!$V$3&amp;"$O$54"),7,)</f>
        <v>1.87</v>
      </c>
      <c r="J20" s="60">
        <f ca="1">VLOOKUP(A20,INDIRECT('LOCCS Import'!$U$3&amp;"$A$3"):INDIRECT('LOCCS Import'!$U$3&amp;"$O$54"),7,)</f>
        <v>1.87</v>
      </c>
      <c r="K20" s="60">
        <f ca="1">VLOOKUP(A20,INDIRECT('LOCCS Import'!$T$3&amp;"$A$3"):INDIRECT('LOCCS Import'!$T$3&amp;"$O$54"),7,)</f>
        <v>1.73</v>
      </c>
      <c r="L20" s="60">
        <f ca="1">VLOOKUP(A20,INDIRECT('LOCCS Import'!$S$3&amp;"$A$3"):INDIRECT('LOCCS Import'!$S$3&amp;"$O$54"),7,)</f>
        <v>1.63</v>
      </c>
      <c r="M20" s="60">
        <f ca="1">VLOOKUP(A20,INDIRECT('LOCCS Import'!$R$3&amp;"$A$3"):INDIRECT('LOCCS Import'!$R$3&amp;"$O$54"),7,)</f>
        <v>1.59</v>
      </c>
      <c r="N20" s="60">
        <f ca="1">VLOOKUP(A20,INDIRECT('LOCCS Import'!$Q$3&amp;"$A$3"):INDIRECT('LOCCS Import'!$Q$3&amp;"$O$54"),7,)</f>
        <v>1.49</v>
      </c>
      <c r="O20" s="60">
        <f ca="1">VLOOKUP(A20,INDIRECT('LOCCS Import'!$P$3&amp;"$A$3"):INDIRECT('LOCCS Import'!$P$3&amp;"$O$54"),7,)</f>
        <v>2.31</v>
      </c>
      <c r="P20" s="60">
        <f ca="1">VLOOKUP(A20,INDIRECT('LOCCS Import'!$O$3&amp;"$A$3"):INDIRECT('LOCCS Import'!$O$3&amp;"$O$54"),7,)</f>
        <v>2.25</v>
      </c>
      <c r="Q20" s="60">
        <f ca="1">VLOOKUP(A20,INDIRECT('LOCCS Import'!$N$3&amp;"$A$3"):INDIRECT('LOCCS Import'!$N$3&amp;"$O$54"),7,)</f>
        <v>2.23</v>
      </c>
      <c r="R20" s="60">
        <f ca="1">VLOOKUP(A20,INDIRECT('LOCCS Import'!$M$3&amp;"$A$3"):INDIRECT('LOCCS Import'!$M$3&amp;"$O$54"),7,)</f>
        <v>2.16</v>
      </c>
      <c r="S20" s="60">
        <f ca="1">VLOOKUP(A20,INDIRECT('LOCCS Import'!$L$3&amp;"$A$3"):INDIRECT('LOCCS Import'!$L$3&amp;"$O$54"),7,)</f>
        <v>2.08</v>
      </c>
      <c r="T20" s="60">
        <f ca="1">VLOOKUP(A20,INDIRECT('LOCCS Import'!$K$3&amp;"$A$3"):INDIRECT('LOCCS Import'!$K$3&amp;"$O$54"),7,)</f>
        <v>2.0099999999999998</v>
      </c>
      <c r="U20" s="60">
        <f ca="1">VLOOKUP(A20,INDIRECT('LOCCS Import'!$J$3&amp;"$A$3"):INDIRECT('LOCCS Import'!$J$3&amp;"$O$54"),7,)</f>
        <v>1.91</v>
      </c>
      <c r="V20" s="60">
        <f ca="1">VLOOKUP(A20,INDIRECT('LOCCS Import'!$I$3&amp;"$A$3"):INDIRECT('LOCCS Import'!$I$3&amp;"$O$54"),7,)</f>
        <v>1.83</v>
      </c>
      <c r="W20" s="60">
        <f ca="1">VLOOKUP(A20,INDIRECT('LOCCS Import'!$H$3&amp;"$A$3"):INDIRECT('LOCCS Import'!$H$3&amp;"$O$54"),7,)</f>
        <v>1.78</v>
      </c>
      <c r="X20" s="60">
        <f ca="1">VLOOKUP(A20,INDIRECT('LOCCS Import'!$G$3&amp;"$A$3"):INDIRECT('LOCCS Import'!$G$3&amp;"$O$54"),7,)</f>
        <v>1.72</v>
      </c>
      <c r="Y20" s="60">
        <f ca="1">VLOOKUP(A20,INDIRECT('LOCCS Import'!$F$3&amp;"$A$3"):INDIRECT('LOCCS Import'!$F$3&amp;"$O$54"),7,)</f>
        <v>1.62</v>
      </c>
      <c r="Z20" s="60">
        <f ca="1">VLOOKUP(A20,INDIRECT('LOCCS Import'!$E$3&amp;"$A$3"):INDIRECT('LOCCS Import'!$E$3&amp;"$O$54"),7,)</f>
        <v>1.59</v>
      </c>
      <c r="AA20" s="60">
        <f>VLOOKUP(A20,template!$A$3:$P$54,7,)</f>
        <v>2.5299999999999998</v>
      </c>
      <c r="AB20" s="58">
        <f t="shared" ca="1" si="0"/>
        <v>2.5299999999999998</v>
      </c>
      <c r="AC20" s="60">
        <f t="shared" ca="1" si="1"/>
        <v>1.59</v>
      </c>
      <c r="AD20" s="61">
        <f t="shared" ca="1" si="2"/>
        <v>1.9758333333333333</v>
      </c>
      <c r="AE20" s="84">
        <f t="shared" ca="1" si="3"/>
        <v>6</v>
      </c>
      <c r="AF20" s="138"/>
      <c r="AG20" s="3">
        <f ca="1">VLOOKUP(A20,INDIRECT('LOCCS Import'!$AA$3&amp;"$A$3"):INDIRECT('LOCCS Import'!$AA$3&amp;"$O$54"),8,)</f>
        <v>0.95</v>
      </c>
      <c r="AH20" s="1">
        <f ca="1">VLOOKUP(A20,INDIRECT('LOCCS Import'!$Z$3&amp;"$A$3"):INDIRECT('LOCCS Import'!$Z$3&amp;"$O$54"),8,)</f>
        <v>0.99</v>
      </c>
      <c r="AI20" s="1">
        <f ca="1">VLOOKUP(A20,INDIRECT('LOCCS Import'!$Y$3&amp;"$A$3"):INDIRECT('LOCCS Import'!$Y$3&amp;"$O$54"),8,)</f>
        <v>0.94</v>
      </c>
      <c r="AJ20" s="1">
        <f ca="1">VLOOKUP(A20,INDIRECT('LOCCS Import'!$X$3&amp;"$A$3"):INDIRECT('LOCCS Import'!$X$3&amp;"$O$54"),8,)</f>
        <v>1.1200000000000001</v>
      </c>
      <c r="AK20" s="1">
        <f ca="1">VLOOKUP(A20,INDIRECT('LOCCS Import'!$W$3&amp;"$A$3"):INDIRECT('LOCCS Import'!$W$3&amp;"$O$54"),8,)</f>
        <v>1.05</v>
      </c>
      <c r="AL20" s="1">
        <f ca="1">VLOOKUP(A20,INDIRECT('LOCCS Import'!$V$3&amp;"$A$3"):INDIRECT('LOCCS Import'!$V$3&amp;"$O$54"),8,)</f>
        <v>0.98</v>
      </c>
      <c r="AM20" s="1">
        <f ca="1">VLOOKUP(A20,INDIRECT('LOCCS Import'!$U$3&amp;"$A$3"):INDIRECT('LOCCS Import'!$U$3&amp;"$O$54"),8,)</f>
        <v>0.98</v>
      </c>
      <c r="AN20" s="1">
        <f ca="1">VLOOKUP(A20,INDIRECT('LOCCS Import'!$T$3&amp;"$A$3"):INDIRECT('LOCCS Import'!$T$3&amp;"$O$54"),8,)</f>
        <v>0.89</v>
      </c>
      <c r="AO20" s="1">
        <f ca="1">VLOOKUP(A20,INDIRECT('LOCCS Import'!$S$3&amp;"$A$3"):INDIRECT('LOCCS Import'!$S$3&amp;"$O$54"),8,)</f>
        <v>0.94</v>
      </c>
      <c r="AP20" s="1">
        <f ca="1">VLOOKUP(A20,INDIRECT('LOCCS Import'!$R$3&amp;"$A$3"):INDIRECT('LOCCS Import'!$R$3&amp;"$O$54"),8,)</f>
        <v>0.88</v>
      </c>
      <c r="AQ20" s="1">
        <f ca="1">VLOOKUP(A20,INDIRECT('LOCCS Import'!$Q$3&amp;"$A$3"):INDIRECT('LOCCS Import'!$Q$3&amp;"$O$54"),8,)</f>
        <v>0.94</v>
      </c>
      <c r="AR20" s="1">
        <f ca="1">VLOOKUP(A20,INDIRECT('LOCCS Import'!$P$3&amp;"$A$3"):INDIRECT('LOCCS Import'!$P$3&amp;"$O$54"),8,)</f>
        <v>1.03</v>
      </c>
      <c r="AS20" s="1">
        <f ca="1">VLOOKUP(A20,INDIRECT('LOCCS Import'!$O$3&amp;"$A$3"):INDIRECT('LOCCS Import'!$O$3&amp;"$O$54"),8,)</f>
        <v>1.03</v>
      </c>
      <c r="AT20" s="1">
        <f ca="1">VLOOKUP(A20,INDIRECT('LOCCS Import'!$N$3&amp;"$A$3"):INDIRECT('LOCCS Import'!$N$3&amp;"$O$54"),8,)</f>
        <v>0.99</v>
      </c>
      <c r="AU20" s="1">
        <f ca="1">VLOOKUP(A20,INDIRECT('LOCCS Import'!$M$3&amp;"$A$3"):INDIRECT('LOCCS Import'!$M$3&amp;"$O$54"),8,)</f>
        <v>0.99</v>
      </c>
      <c r="AV20" s="1">
        <f ca="1">VLOOKUP(A20,INDIRECT('LOCCS Import'!$L$3&amp;"$A$3"):INDIRECT('LOCCS Import'!$L$3&amp;"$O$54"),8,)</f>
        <v>0.87</v>
      </c>
      <c r="AW20" s="1">
        <f ca="1">VLOOKUP(A20,INDIRECT('LOCCS Import'!$K$3&amp;"$A$3"):INDIRECT('LOCCS Import'!$K$3&amp;"$O$54"),8,)</f>
        <v>0.92</v>
      </c>
      <c r="AX20" s="1">
        <f ca="1">VLOOKUP(A20,INDIRECT('LOCCS Import'!$J$3&amp;"$A$3"):INDIRECT('LOCCS Import'!$J$3&amp;"$O$54"),8,)</f>
        <v>0.94</v>
      </c>
      <c r="AY20" s="1">
        <f ca="1">VLOOKUP(A20,INDIRECT('LOCCS Import'!$I$3&amp;"$A$3"):INDIRECT('LOCCS Import'!$I$3&amp;"$O$54"),8,)</f>
        <v>0.98</v>
      </c>
      <c r="AZ20" s="1">
        <f ca="1">VLOOKUP(A20,INDIRECT('LOCCS Import'!$H$3&amp;"$A$3"):INDIRECT('LOCCS Import'!$H$3&amp;"$O$54"),8,)</f>
        <v>0.93</v>
      </c>
      <c r="BA20" s="1">
        <f ca="1">VLOOKUP(A20,INDIRECT('LOCCS Import'!$G$3&amp;"$A$3"):INDIRECT('LOCCS Import'!$G$3&amp;"$O$54"),8,)</f>
        <v>0.9</v>
      </c>
      <c r="BB20" s="1">
        <f ca="1">VLOOKUP(A20,INDIRECT('LOCCS Import'!$F$3&amp;"$A$3"):INDIRECT('LOCCS Import'!$F$3&amp;"$O$54"),8,)</f>
        <v>0.96</v>
      </c>
      <c r="BC20" s="1">
        <f ca="1">VLOOKUP(A20,INDIRECT('LOCCS Import'!$E$3&amp;"$A$3"):INDIRECT('LOCCS Import'!$E$3&amp;"$O$54"),8,)</f>
        <v>0.89</v>
      </c>
      <c r="BD20" s="2">
        <f>VLOOKUP(A20,template!$A$3:$P$54,8,)</f>
        <v>0.77</v>
      </c>
      <c r="BE20" s="2">
        <f t="shared" ca="1" si="4"/>
        <v>0.93083333333333351</v>
      </c>
      <c r="BF20" s="115">
        <f t="shared" ca="1" si="5"/>
        <v>22</v>
      </c>
    </row>
    <row r="21" spans="1:58" x14ac:dyDescent="0.3">
      <c r="A21" s="67" t="s">
        <v>33</v>
      </c>
      <c r="B21" s="64" t="s">
        <v>73</v>
      </c>
      <c r="C21" s="64" t="s">
        <v>100</v>
      </c>
      <c r="D21" s="60">
        <f ca="1">VLOOKUP(A21,INDIRECT('LOCCS Import'!$AA$3&amp;"$A$3"):INDIRECT('LOCCS Import'!$AA$3&amp;"$O$54"),7,)</f>
        <v>2.5499999999999998</v>
      </c>
      <c r="E21" s="60">
        <f ca="1">VLOOKUP(A21,INDIRECT('LOCCS Import'!$Z$3&amp;"$A$3"):INDIRECT('LOCCS Import'!$Z$3&amp;"$O$54"),7,)</f>
        <v>3.45</v>
      </c>
      <c r="F21" s="60">
        <f ca="1">VLOOKUP(A21,INDIRECT('LOCCS Import'!$Y$3&amp;"$A$3"):INDIRECT('LOCCS Import'!$Y$3&amp;"$O$54"),7,)</f>
        <v>3.38</v>
      </c>
      <c r="G21" s="60">
        <f ca="1">VLOOKUP(A21,INDIRECT('LOCCS Import'!$X$3&amp;"$A$3"):INDIRECT('LOCCS Import'!$X$3&amp;"$O$54"),7,)</f>
        <v>3.08</v>
      </c>
      <c r="H21" s="60">
        <f ca="1">VLOOKUP(A21,INDIRECT('LOCCS Import'!$W$3&amp;"$A$3"):INDIRECT('LOCCS Import'!$W$3&amp;"$O$54"),7,)</f>
        <v>3.01</v>
      </c>
      <c r="I21" s="60">
        <f ca="1">VLOOKUP(A21,INDIRECT('LOCCS Import'!$V$3&amp;"$A$3"):INDIRECT('LOCCS Import'!$V$3&amp;"$O$54"),7,)</f>
        <v>2.98</v>
      </c>
      <c r="J21" s="60">
        <f ca="1">VLOOKUP(A21,INDIRECT('LOCCS Import'!$U$3&amp;"$A$3"):INDIRECT('LOCCS Import'!$U$3&amp;"$O$54"),7,)</f>
        <v>2.98</v>
      </c>
      <c r="K21" s="60">
        <f ca="1">VLOOKUP(A21,INDIRECT('LOCCS Import'!$T$3&amp;"$A$3"):INDIRECT('LOCCS Import'!$T$3&amp;"$O$54"),7,)</f>
        <v>2.79</v>
      </c>
      <c r="L21" s="60">
        <f ca="1">VLOOKUP(A21,INDIRECT('LOCCS Import'!$S$3&amp;"$A$3"):INDIRECT('LOCCS Import'!$S$3&amp;"$O$54"),7,)</f>
        <v>2.68</v>
      </c>
      <c r="M21" s="60">
        <f ca="1">VLOOKUP(A21,INDIRECT('LOCCS Import'!$R$3&amp;"$A$3"):INDIRECT('LOCCS Import'!$R$3&amp;"$O$54"),7,)</f>
        <v>2.61</v>
      </c>
      <c r="N21" s="60">
        <f ca="1">VLOOKUP(A21,INDIRECT('LOCCS Import'!$Q$3&amp;"$A$3"):INDIRECT('LOCCS Import'!$Q$3&amp;"$O$54"),7,)</f>
        <v>2.4900000000000002</v>
      </c>
      <c r="O21" s="60">
        <f ca="1">VLOOKUP(A21,INDIRECT('LOCCS Import'!$P$3&amp;"$A$3"):INDIRECT('LOCCS Import'!$P$3&amp;"$O$54"),7,)</f>
        <v>2.4300000000000002</v>
      </c>
      <c r="P21" s="60">
        <f ca="1">VLOOKUP(A21,INDIRECT('LOCCS Import'!$O$3&amp;"$A$3"):INDIRECT('LOCCS Import'!$O$3&amp;"$O$54"),7,)</f>
        <v>2.31</v>
      </c>
      <c r="Q21" s="60">
        <f ca="1">VLOOKUP(A21,INDIRECT('LOCCS Import'!$N$3&amp;"$A$3"):INDIRECT('LOCCS Import'!$N$3&amp;"$O$54"),7,)</f>
        <v>2.23</v>
      </c>
      <c r="R21" s="60">
        <f ca="1">VLOOKUP(A21,INDIRECT('LOCCS Import'!$M$3&amp;"$A$3"):INDIRECT('LOCCS Import'!$M$3&amp;"$O$54"),7,)</f>
        <v>2.17</v>
      </c>
      <c r="S21" s="60">
        <f ca="1">VLOOKUP(A21,INDIRECT('LOCCS Import'!$L$3&amp;"$A$3"):INDIRECT('LOCCS Import'!$L$3&amp;"$O$54"),7,)</f>
        <v>3.36</v>
      </c>
      <c r="T21" s="60">
        <f ca="1">VLOOKUP(A21,INDIRECT('LOCCS Import'!$K$3&amp;"$A$3"):INDIRECT('LOCCS Import'!$K$3&amp;"$O$54"),7,)</f>
        <v>3.3</v>
      </c>
      <c r="U21" s="60">
        <f ca="1">VLOOKUP(A21,INDIRECT('LOCCS Import'!$J$3&amp;"$A$3"):INDIRECT('LOCCS Import'!$J$3&amp;"$O$54"),7,)</f>
        <v>3.18</v>
      </c>
      <c r="V21" s="60">
        <f ca="1">VLOOKUP(A21,INDIRECT('LOCCS Import'!$I$3&amp;"$A$3"):INDIRECT('LOCCS Import'!$I$3&amp;"$O$54"),7,)</f>
        <v>3.17</v>
      </c>
      <c r="W21" s="60">
        <f ca="1">VLOOKUP(A21,INDIRECT('LOCCS Import'!$H$3&amp;"$A$3"):INDIRECT('LOCCS Import'!$H$3&amp;"$O$54"),7,)</f>
        <v>3.08</v>
      </c>
      <c r="X21" s="60">
        <f ca="1">VLOOKUP(A21,INDIRECT('LOCCS Import'!$G$3&amp;"$A$3"):INDIRECT('LOCCS Import'!$G$3&amp;"$O$54"),7,)</f>
        <v>3.06</v>
      </c>
      <c r="Y21" s="60">
        <f ca="1">VLOOKUP(A21,INDIRECT('LOCCS Import'!$F$3&amp;"$A$3"):INDIRECT('LOCCS Import'!$F$3&amp;"$O$54"),7,)</f>
        <v>2.92</v>
      </c>
      <c r="Z21" s="60">
        <f ca="1">VLOOKUP(A21,INDIRECT('LOCCS Import'!$E$3&amp;"$A$3"):INDIRECT('LOCCS Import'!$E$3&amp;"$O$54"),7,)</f>
        <v>2.69</v>
      </c>
      <c r="AA21" s="60">
        <f>VLOOKUP(A21,template!$A$3:$P$54,7,)</f>
        <v>3.47</v>
      </c>
      <c r="AB21" s="58">
        <f t="shared" ca="1" si="0"/>
        <v>3.47</v>
      </c>
      <c r="AC21" s="60">
        <f t="shared" ca="1" si="1"/>
        <v>2.17</v>
      </c>
      <c r="AD21" s="61">
        <f t="shared" ca="1" si="2"/>
        <v>2.9116666666666666</v>
      </c>
      <c r="AE21" s="84">
        <f t="shared" ca="1" si="3"/>
        <v>23</v>
      </c>
      <c r="AF21" s="138"/>
      <c r="AG21" s="3">
        <f ca="1">VLOOKUP(A21,INDIRECT('LOCCS Import'!$AA$3&amp;"$A$3"):INDIRECT('LOCCS Import'!$AA$3&amp;"$O$54"),8,)</f>
        <v>0.98</v>
      </c>
      <c r="AH21" s="1">
        <f ca="1">VLOOKUP(A21,INDIRECT('LOCCS Import'!$Z$3&amp;"$A$3"):INDIRECT('LOCCS Import'!$Z$3&amp;"$O$54"),8,)</f>
        <v>0.91</v>
      </c>
      <c r="AI21" s="1">
        <f ca="1">VLOOKUP(A21,INDIRECT('LOCCS Import'!$Y$3&amp;"$A$3"):INDIRECT('LOCCS Import'!$Y$3&amp;"$O$54"),8,)</f>
        <v>0.83</v>
      </c>
      <c r="AJ21" s="1">
        <f ca="1">VLOOKUP(A21,INDIRECT('LOCCS Import'!$X$3&amp;"$A$3"):INDIRECT('LOCCS Import'!$X$3&amp;"$O$54"),8,)</f>
        <v>1.1000000000000001</v>
      </c>
      <c r="AK21" s="1">
        <f ca="1">VLOOKUP(A21,INDIRECT('LOCCS Import'!$W$3&amp;"$A$3"):INDIRECT('LOCCS Import'!$W$3&amp;"$O$54"),8,)</f>
        <v>1.1100000000000001</v>
      </c>
      <c r="AL21" s="1">
        <f ca="1">VLOOKUP(A21,INDIRECT('LOCCS Import'!$V$3&amp;"$A$3"):INDIRECT('LOCCS Import'!$V$3&amp;"$O$54"),8,)</f>
        <v>1.01</v>
      </c>
      <c r="AM21" s="1">
        <f ca="1">VLOOKUP(A21,INDIRECT('LOCCS Import'!$U$3&amp;"$A$3"):INDIRECT('LOCCS Import'!$U$3&amp;"$O$54"),8,)</f>
        <v>1.01</v>
      </c>
      <c r="AN21" s="1">
        <f ca="1">VLOOKUP(A21,INDIRECT('LOCCS Import'!$T$3&amp;"$A$3"):INDIRECT('LOCCS Import'!$T$3&amp;"$O$54"),8,)</f>
        <v>1.06</v>
      </c>
      <c r="AO21" s="1">
        <f ca="1">VLOOKUP(A21,INDIRECT('LOCCS Import'!$S$3&amp;"$A$3"):INDIRECT('LOCCS Import'!$S$3&amp;"$O$54"),8,)</f>
        <v>1.1299999999999999</v>
      </c>
      <c r="AP21" s="1">
        <f ca="1">VLOOKUP(A21,INDIRECT('LOCCS Import'!$R$3&amp;"$A$3"):INDIRECT('LOCCS Import'!$R$3&amp;"$O$54"),8,)</f>
        <v>1.17</v>
      </c>
      <c r="AQ21" s="1">
        <f ca="1">VLOOKUP(A21,INDIRECT('LOCCS Import'!$Q$3&amp;"$A$3"):INDIRECT('LOCCS Import'!$Q$3&amp;"$O$54"),8,)</f>
        <v>1.1599999999999999</v>
      </c>
      <c r="AR21" s="1">
        <f ca="1">VLOOKUP(A21,INDIRECT('LOCCS Import'!$P$3&amp;"$A$3"):INDIRECT('LOCCS Import'!$P$3&amp;"$O$54"),8,)</f>
        <v>1.06</v>
      </c>
      <c r="AS21" s="1">
        <f ca="1">VLOOKUP(A21,INDIRECT('LOCCS Import'!$O$3&amp;"$A$3"):INDIRECT('LOCCS Import'!$O$3&amp;"$O$54"),8,)</f>
        <v>1.18</v>
      </c>
      <c r="AT21" s="1">
        <f ca="1">VLOOKUP(A21,INDIRECT('LOCCS Import'!$N$3&amp;"$A$3"):INDIRECT('LOCCS Import'!$N$3&amp;"$O$54"),8,)</f>
        <v>1.22</v>
      </c>
      <c r="AU21" s="1">
        <f ca="1">VLOOKUP(A21,INDIRECT('LOCCS Import'!$M$3&amp;"$A$3"):INDIRECT('LOCCS Import'!$M$3&amp;"$O$54"),8,)</f>
        <v>1.2</v>
      </c>
      <c r="AV21" s="1">
        <f ca="1">VLOOKUP(A21,INDIRECT('LOCCS Import'!$L$3&amp;"$A$3"):INDIRECT('LOCCS Import'!$L$3&amp;"$O$54"),8,)</f>
        <v>1.1100000000000001</v>
      </c>
      <c r="AW21" s="1">
        <f ca="1">VLOOKUP(A21,INDIRECT('LOCCS Import'!$K$3&amp;"$A$3"):INDIRECT('LOCCS Import'!$K$3&amp;"$O$54"),8,)</f>
        <v>1.1000000000000001</v>
      </c>
      <c r="AX21" s="1">
        <f ca="1">VLOOKUP(A21,INDIRECT('LOCCS Import'!$J$3&amp;"$A$3"):INDIRECT('LOCCS Import'!$J$3&amp;"$O$54"),8,)</f>
        <v>1.19</v>
      </c>
      <c r="AY21" s="1">
        <f ca="1">VLOOKUP(A21,INDIRECT('LOCCS Import'!$I$3&amp;"$A$3"):INDIRECT('LOCCS Import'!$I$3&amp;"$O$54"),8,)</f>
        <v>1.1100000000000001</v>
      </c>
      <c r="AZ21" s="1">
        <f ca="1">VLOOKUP(A21,INDIRECT('LOCCS Import'!$H$3&amp;"$A$3"):INDIRECT('LOCCS Import'!$H$3&amp;"$O$54"),8,)</f>
        <v>1.07</v>
      </c>
      <c r="BA21" s="1">
        <f ca="1">VLOOKUP(A21,INDIRECT('LOCCS Import'!$G$3&amp;"$A$3"):INDIRECT('LOCCS Import'!$G$3&amp;"$O$54"),8,)</f>
        <v>0.97</v>
      </c>
      <c r="BB21" s="1">
        <f ca="1">VLOOKUP(A21,INDIRECT('LOCCS Import'!$F$3&amp;"$A$3"):INDIRECT('LOCCS Import'!$F$3&amp;"$O$54"),8,)</f>
        <v>1.02</v>
      </c>
      <c r="BC21" s="1">
        <f ca="1">VLOOKUP(A21,INDIRECT('LOCCS Import'!$E$3&amp;"$A$3"):INDIRECT('LOCCS Import'!$E$3&amp;"$O$54"),8,)</f>
        <v>1.1200000000000001</v>
      </c>
      <c r="BD21" s="2">
        <f>VLOOKUP(A21,template!$A$3:$P$54,8,)</f>
        <v>1.3</v>
      </c>
      <c r="BE21" s="2">
        <f t="shared" ca="1" si="4"/>
        <v>1.1325000000000001</v>
      </c>
      <c r="BF21" s="115">
        <f t="shared" ca="1" si="5"/>
        <v>12</v>
      </c>
    </row>
    <row r="22" spans="1:58" x14ac:dyDescent="0.3">
      <c r="A22" s="67" t="s">
        <v>34</v>
      </c>
      <c r="B22" s="64" t="s">
        <v>72</v>
      </c>
      <c r="C22" s="64" t="s">
        <v>101</v>
      </c>
      <c r="D22" s="60">
        <f ca="1">VLOOKUP(A22,INDIRECT('LOCCS Import'!$AA$3&amp;"$A$3"):INDIRECT('LOCCS Import'!$AA$3&amp;"$O$54"),7,)</f>
        <v>2.94</v>
      </c>
      <c r="E22" s="60">
        <f ca="1">VLOOKUP(A22,INDIRECT('LOCCS Import'!$Z$3&amp;"$A$3"):INDIRECT('LOCCS Import'!$Z$3&amp;"$O$54"),7,)</f>
        <v>2.84</v>
      </c>
      <c r="F22" s="60">
        <f ca="1">VLOOKUP(A22,INDIRECT('LOCCS Import'!$Y$3&amp;"$A$3"):INDIRECT('LOCCS Import'!$Y$3&amp;"$O$54"),7,)</f>
        <v>2.72</v>
      </c>
      <c r="G22" s="60">
        <f ca="1">VLOOKUP(A22,INDIRECT('LOCCS Import'!$X$3&amp;"$A$3"):INDIRECT('LOCCS Import'!$X$3&amp;"$O$54"),7,)</f>
        <v>2.65</v>
      </c>
      <c r="H22" s="60">
        <f ca="1">VLOOKUP(A22,INDIRECT('LOCCS Import'!$W$3&amp;"$A$3"):INDIRECT('LOCCS Import'!$W$3&amp;"$O$54"),7,)</f>
        <v>2.54</v>
      </c>
      <c r="I22" s="60">
        <f ca="1">VLOOKUP(A22,INDIRECT('LOCCS Import'!$V$3&amp;"$A$3"):INDIRECT('LOCCS Import'!$V$3&amp;"$O$54"),7,)</f>
        <v>2.48</v>
      </c>
      <c r="J22" s="60">
        <f ca="1">VLOOKUP(A22,INDIRECT('LOCCS Import'!$U$3&amp;"$A$3"):INDIRECT('LOCCS Import'!$U$3&amp;"$O$54"),7,)</f>
        <v>2.48</v>
      </c>
      <c r="K22" s="60">
        <f ca="1">VLOOKUP(A22,INDIRECT('LOCCS Import'!$T$3&amp;"$A$3"):INDIRECT('LOCCS Import'!$T$3&amp;"$O$54"),7,)</f>
        <v>2.2599999999999998</v>
      </c>
      <c r="L22" s="60">
        <f ca="1">VLOOKUP(A22,INDIRECT('LOCCS Import'!$S$3&amp;"$A$3"):INDIRECT('LOCCS Import'!$S$3&amp;"$O$54"),7,)</f>
        <v>2.13</v>
      </c>
      <c r="M22" s="60">
        <f ca="1">VLOOKUP(A22,INDIRECT('LOCCS Import'!$R$3&amp;"$A$3"):INDIRECT('LOCCS Import'!$R$3&amp;"$O$54"),7,)</f>
        <v>1.85</v>
      </c>
      <c r="N22" s="60">
        <f ca="1">VLOOKUP(A22,INDIRECT('LOCCS Import'!$Q$3&amp;"$A$3"):INDIRECT('LOCCS Import'!$Q$3&amp;"$O$54"),7,)</f>
        <v>1.79</v>
      </c>
      <c r="O22" s="60">
        <f ca="1">VLOOKUP(A22,INDIRECT('LOCCS Import'!$P$3&amp;"$A$3"):INDIRECT('LOCCS Import'!$P$3&amp;"$O$54"),7,)</f>
        <v>2.75</v>
      </c>
      <c r="P22" s="60">
        <f ca="1">VLOOKUP(A22,INDIRECT('LOCCS Import'!$O$3&amp;"$A$3"):INDIRECT('LOCCS Import'!$O$3&amp;"$O$54"),7,)</f>
        <v>2.66</v>
      </c>
      <c r="Q22" s="60">
        <f ca="1">VLOOKUP(A22,INDIRECT('LOCCS Import'!$N$3&amp;"$A$3"):INDIRECT('LOCCS Import'!$N$3&amp;"$O$54"),7,)</f>
        <v>2.48</v>
      </c>
      <c r="R22" s="60">
        <f ca="1">VLOOKUP(A22,INDIRECT('LOCCS Import'!$M$3&amp;"$A$3"):INDIRECT('LOCCS Import'!$M$3&amp;"$O$54"),7,)</f>
        <v>2.39</v>
      </c>
      <c r="S22" s="60">
        <f ca="1">VLOOKUP(A22,INDIRECT('LOCCS Import'!$L$3&amp;"$A$3"):INDIRECT('LOCCS Import'!$L$3&amp;"$O$54"),7,)</f>
        <v>2.2200000000000002</v>
      </c>
      <c r="T22" s="60">
        <f ca="1">VLOOKUP(A22,INDIRECT('LOCCS Import'!$K$3&amp;"$A$3"):INDIRECT('LOCCS Import'!$K$3&amp;"$O$54"),7,)</f>
        <v>2.15</v>
      </c>
      <c r="U22" s="60">
        <f ca="1">VLOOKUP(A22,INDIRECT('LOCCS Import'!$J$3&amp;"$A$3"):INDIRECT('LOCCS Import'!$J$3&amp;"$O$54"),7,)</f>
        <v>2.09</v>
      </c>
      <c r="V22" s="60">
        <f ca="1">VLOOKUP(A22,INDIRECT('LOCCS Import'!$I$3&amp;"$A$3"):INDIRECT('LOCCS Import'!$I$3&amp;"$O$54"),7,)</f>
        <v>2.04</v>
      </c>
      <c r="W22" s="60">
        <f ca="1">VLOOKUP(A22,INDIRECT('LOCCS Import'!$H$3&amp;"$A$3"):INDIRECT('LOCCS Import'!$H$3&amp;"$O$54"),7,)</f>
        <v>1.98</v>
      </c>
      <c r="X22" s="60">
        <f ca="1">VLOOKUP(A22,INDIRECT('LOCCS Import'!$G$3&amp;"$A$3"):INDIRECT('LOCCS Import'!$G$3&amp;"$O$54"),7,)</f>
        <v>1.85</v>
      </c>
      <c r="Y22" s="60">
        <f ca="1">VLOOKUP(A22,INDIRECT('LOCCS Import'!$F$3&amp;"$A$3"):INDIRECT('LOCCS Import'!$F$3&amp;"$O$54"),7,)</f>
        <v>1.65</v>
      </c>
      <c r="Z22" s="60">
        <f ca="1">VLOOKUP(A22,INDIRECT('LOCCS Import'!$E$3&amp;"$A$3"):INDIRECT('LOCCS Import'!$E$3&amp;"$O$54"),7,)</f>
        <v>1.57</v>
      </c>
      <c r="AA22" s="60">
        <f>VLOOKUP(A22,template!$A$3:$P$54,7,)</f>
        <v>2.4500000000000002</v>
      </c>
      <c r="AB22" s="58">
        <f t="shared" ca="1" si="0"/>
        <v>2.66</v>
      </c>
      <c r="AC22" s="60">
        <f t="shared" ca="1" si="1"/>
        <v>1.57</v>
      </c>
      <c r="AD22" s="61">
        <f t="shared" ca="1" si="2"/>
        <v>2.1274999999999999</v>
      </c>
      <c r="AE22" s="84">
        <f t="shared" ca="1" si="3"/>
        <v>10</v>
      </c>
      <c r="AF22" s="138"/>
      <c r="AG22" s="3">
        <f ca="1">VLOOKUP(A22,INDIRECT('LOCCS Import'!$AA$3&amp;"$A$3"):INDIRECT('LOCCS Import'!$AA$3&amp;"$O$54"),8,)</f>
        <v>0.86</v>
      </c>
      <c r="AH22" s="1">
        <f ca="1">VLOOKUP(A22,INDIRECT('LOCCS Import'!$Z$3&amp;"$A$3"):INDIRECT('LOCCS Import'!$Z$3&amp;"$O$54"),8,)</f>
        <v>0.97</v>
      </c>
      <c r="AI22" s="1">
        <f ca="1">VLOOKUP(A22,INDIRECT('LOCCS Import'!$Y$3&amp;"$A$3"):INDIRECT('LOCCS Import'!$Y$3&amp;"$O$54"),8,)</f>
        <v>1.01</v>
      </c>
      <c r="AJ22" s="1">
        <f ca="1">VLOOKUP(A22,INDIRECT('LOCCS Import'!$X$3&amp;"$A$3"):INDIRECT('LOCCS Import'!$X$3&amp;"$O$54"),8,)</f>
        <v>0.99</v>
      </c>
      <c r="AK22" s="1">
        <f ca="1">VLOOKUP(A22,INDIRECT('LOCCS Import'!$W$3&amp;"$A$3"):INDIRECT('LOCCS Import'!$W$3&amp;"$O$54"),8,)</f>
        <v>1.05</v>
      </c>
      <c r="AL22" s="1">
        <f ca="1">VLOOKUP(A22,INDIRECT('LOCCS Import'!$V$3&amp;"$A$3"):INDIRECT('LOCCS Import'!$V$3&amp;"$O$54"),8,)</f>
        <v>1.04</v>
      </c>
      <c r="AM22" s="1">
        <f ca="1">VLOOKUP(A22,INDIRECT('LOCCS Import'!$U$3&amp;"$A$3"):INDIRECT('LOCCS Import'!$U$3&amp;"$O$54"),8,)</f>
        <v>1.04</v>
      </c>
      <c r="AN22" s="1">
        <f ca="1">VLOOKUP(A22,INDIRECT('LOCCS Import'!$T$3&amp;"$A$3"):INDIRECT('LOCCS Import'!$T$3&amp;"$O$54"),8,)</f>
        <v>1.1399999999999999</v>
      </c>
      <c r="AO22" s="1">
        <f ca="1">VLOOKUP(A22,INDIRECT('LOCCS Import'!$S$3&amp;"$A$3"):INDIRECT('LOCCS Import'!$S$3&amp;"$O$54"),8,)</f>
        <v>1.1399999999999999</v>
      </c>
      <c r="AP22" s="1">
        <f ca="1">VLOOKUP(A22,INDIRECT('LOCCS Import'!$R$3&amp;"$A$3"):INDIRECT('LOCCS Import'!$R$3&amp;"$O$54"),8,)</f>
        <v>1.36</v>
      </c>
      <c r="AQ22" s="1">
        <f ca="1">VLOOKUP(A22,INDIRECT('LOCCS Import'!$Q$3&amp;"$A$3"):INDIRECT('LOCCS Import'!$Q$3&amp;"$O$54"),8,)</f>
        <v>1.28</v>
      </c>
      <c r="AR22" s="1">
        <f ca="1">VLOOKUP(A22,INDIRECT('LOCCS Import'!$P$3&amp;"$A$3"):INDIRECT('LOCCS Import'!$P$3&amp;"$O$54"),8,)</f>
        <v>1.33</v>
      </c>
      <c r="AS22" s="1">
        <f ca="1">VLOOKUP(A22,INDIRECT('LOCCS Import'!$O$3&amp;"$A$3"):INDIRECT('LOCCS Import'!$O$3&amp;"$O$54"),8,)</f>
        <v>1.32</v>
      </c>
      <c r="AT22" s="1">
        <f ca="1">VLOOKUP(A22,INDIRECT('LOCCS Import'!$N$3&amp;"$A$3"):INDIRECT('LOCCS Import'!$N$3&amp;"$O$54"),8,)</f>
        <v>1.39</v>
      </c>
      <c r="AU22" s="1">
        <f ca="1">VLOOKUP(A22,INDIRECT('LOCCS Import'!$M$3&amp;"$A$3"):INDIRECT('LOCCS Import'!$M$3&amp;"$O$54"),8,)</f>
        <v>1.36</v>
      </c>
      <c r="AV22" s="1">
        <f ca="1">VLOOKUP(A22,INDIRECT('LOCCS Import'!$L$3&amp;"$A$3"):INDIRECT('LOCCS Import'!$L$3&amp;"$O$54"),8,)</f>
        <v>1.47</v>
      </c>
      <c r="AW22" s="1">
        <f ca="1">VLOOKUP(A22,INDIRECT('LOCCS Import'!$K$3&amp;"$A$3"):INDIRECT('LOCCS Import'!$K$3&amp;"$O$54"),8,)</f>
        <v>1.42</v>
      </c>
      <c r="AX22" s="1">
        <f ca="1">VLOOKUP(A22,INDIRECT('LOCCS Import'!$J$3&amp;"$A$3"):INDIRECT('LOCCS Import'!$J$3&amp;"$O$54"),8,)</f>
        <v>1.42</v>
      </c>
      <c r="AY22" s="1">
        <f ca="1">VLOOKUP(A22,INDIRECT('LOCCS Import'!$I$3&amp;"$A$3"):INDIRECT('LOCCS Import'!$I$3&amp;"$O$54"),8,)</f>
        <v>1.35</v>
      </c>
      <c r="AZ22" s="1">
        <f ca="1">VLOOKUP(A22,INDIRECT('LOCCS Import'!$H$3&amp;"$A$3"):INDIRECT('LOCCS Import'!$H$3&amp;"$O$54"),8,)</f>
        <v>1.31</v>
      </c>
      <c r="BA22" s="1">
        <f ca="1">VLOOKUP(A22,INDIRECT('LOCCS Import'!$G$3&amp;"$A$3"):INDIRECT('LOCCS Import'!$G$3&amp;"$O$54"),8,)</f>
        <v>1.31</v>
      </c>
      <c r="BB22" s="1">
        <f ca="1">VLOOKUP(A22,INDIRECT('LOCCS Import'!$F$3&amp;"$A$3"):INDIRECT('LOCCS Import'!$F$3&amp;"$O$54"),8,)</f>
        <v>1.22</v>
      </c>
      <c r="BC22" s="1">
        <f ca="1">VLOOKUP(A22,INDIRECT('LOCCS Import'!$E$3&amp;"$A$3"):INDIRECT('LOCCS Import'!$E$3&amp;"$O$54"),8,)</f>
        <v>1.24</v>
      </c>
      <c r="BD22" s="2">
        <f>VLOOKUP(A22,template!$A$3:$P$54,8,)</f>
        <v>1.25</v>
      </c>
      <c r="BE22" s="2">
        <f t="shared" ca="1" si="4"/>
        <v>1.3383333333333336</v>
      </c>
      <c r="BF22" s="115">
        <f t="shared" ca="1" si="5"/>
        <v>8</v>
      </c>
    </row>
    <row r="23" spans="1:58" x14ac:dyDescent="0.3">
      <c r="A23" s="67" t="s">
        <v>35</v>
      </c>
      <c r="B23" s="64" t="s">
        <v>70</v>
      </c>
      <c r="C23" s="64" t="s">
        <v>102</v>
      </c>
      <c r="D23" s="60">
        <f ca="1">VLOOKUP(A23,INDIRECT('LOCCS Import'!$AA$3&amp;"$A$3"):INDIRECT('LOCCS Import'!$AA$3&amp;"$O$54"),7,)</f>
        <v>5.33</v>
      </c>
      <c r="E23" s="60">
        <f ca="1">VLOOKUP(A23,INDIRECT('LOCCS Import'!$Z$3&amp;"$A$3"):INDIRECT('LOCCS Import'!$Z$3&amp;"$O$54"),7,)</f>
        <v>5.33</v>
      </c>
      <c r="F23" s="60">
        <f ca="1">VLOOKUP(A23,INDIRECT('LOCCS Import'!$Y$3&amp;"$A$3"):INDIRECT('LOCCS Import'!$Y$3&amp;"$O$54"),7,)</f>
        <v>5.32</v>
      </c>
      <c r="G23" s="60">
        <f ca="1">VLOOKUP(A23,INDIRECT('LOCCS Import'!$X$3&amp;"$A$3"):INDIRECT('LOCCS Import'!$X$3&amp;"$O$54"),7,)</f>
        <v>5.27</v>
      </c>
      <c r="H23" s="60">
        <f ca="1">VLOOKUP(A23,INDIRECT('LOCCS Import'!$W$3&amp;"$A$3"):INDIRECT('LOCCS Import'!$W$3&amp;"$O$54"),7,)</f>
        <v>5.25</v>
      </c>
      <c r="I23" s="60">
        <f ca="1">VLOOKUP(A23,INDIRECT('LOCCS Import'!$V$3&amp;"$A$3"):INDIRECT('LOCCS Import'!$V$3&amp;"$O$54"),7,)</f>
        <v>5.24</v>
      </c>
      <c r="J23" s="60">
        <f ca="1">VLOOKUP(A23,INDIRECT('LOCCS Import'!$U$3&amp;"$A$3"):INDIRECT('LOCCS Import'!$U$3&amp;"$O$54"),7,)</f>
        <v>5.24</v>
      </c>
      <c r="K23" s="60">
        <f ca="1">VLOOKUP(A23,INDIRECT('LOCCS Import'!$T$3&amp;"$A$3"):INDIRECT('LOCCS Import'!$T$3&amp;"$O$54"),7,)</f>
        <v>5.14</v>
      </c>
      <c r="L23" s="60">
        <f ca="1">VLOOKUP(A23,INDIRECT('LOCCS Import'!$S$3&amp;"$A$3"):INDIRECT('LOCCS Import'!$S$3&amp;"$O$54"),7,)</f>
        <v>5.0599999999999996</v>
      </c>
      <c r="M23" s="60">
        <f ca="1">VLOOKUP(A23,INDIRECT('LOCCS Import'!$R$3&amp;"$A$3"):INDIRECT('LOCCS Import'!$R$3&amp;"$O$54"),7,)</f>
        <v>5.01</v>
      </c>
      <c r="N23" s="60">
        <f ca="1">VLOOKUP(A23,INDIRECT('LOCCS Import'!$Q$3&amp;"$A$3"):INDIRECT('LOCCS Import'!$Q$3&amp;"$O$54"),7,)</f>
        <v>4.92</v>
      </c>
      <c r="O23" s="60">
        <f ca="1">VLOOKUP(A23,INDIRECT('LOCCS Import'!$P$3&amp;"$A$3"):INDIRECT('LOCCS Import'!$P$3&amp;"$O$54"),7,)</f>
        <v>5.77</v>
      </c>
      <c r="P23" s="60">
        <f ca="1">VLOOKUP(A23,INDIRECT('LOCCS Import'!$O$3&amp;"$A$3"):INDIRECT('LOCCS Import'!$O$3&amp;"$O$54"),7,)</f>
        <v>5.59</v>
      </c>
      <c r="Q23" s="60">
        <f ca="1">VLOOKUP(A23,INDIRECT('LOCCS Import'!$N$3&amp;"$A$3"):INDIRECT('LOCCS Import'!$N$3&amp;"$O$54"),7,)</f>
        <v>5.59</v>
      </c>
      <c r="R23" s="60">
        <f ca="1">VLOOKUP(A23,INDIRECT('LOCCS Import'!$M$3&amp;"$A$3"):INDIRECT('LOCCS Import'!$M$3&amp;"$O$54"),7,)</f>
        <v>5.56</v>
      </c>
      <c r="S23" s="60">
        <f ca="1">VLOOKUP(A23,INDIRECT('LOCCS Import'!$L$3&amp;"$A$3"):INDIRECT('LOCCS Import'!$L$3&amp;"$O$54"),7,)</f>
        <v>5.46</v>
      </c>
      <c r="T23" s="60">
        <f ca="1">VLOOKUP(A23,INDIRECT('LOCCS Import'!$K$3&amp;"$A$3"):INDIRECT('LOCCS Import'!$K$3&amp;"$O$54"),7,)</f>
        <v>5.42</v>
      </c>
      <c r="U23" s="60">
        <f ca="1">VLOOKUP(A23,INDIRECT('LOCCS Import'!$J$3&amp;"$A$3"):INDIRECT('LOCCS Import'!$J$3&amp;"$O$54"),7,)</f>
        <v>5.36</v>
      </c>
      <c r="V23" s="60">
        <f ca="1">VLOOKUP(A23,INDIRECT('LOCCS Import'!$I$3&amp;"$A$3"):INDIRECT('LOCCS Import'!$I$3&amp;"$O$54"),7,)</f>
        <v>5.34</v>
      </c>
      <c r="W23" s="60">
        <f ca="1">VLOOKUP(A23,INDIRECT('LOCCS Import'!$H$3&amp;"$A$3"):INDIRECT('LOCCS Import'!$H$3&amp;"$O$54"),7,)</f>
        <v>5.32</v>
      </c>
      <c r="X23" s="60">
        <f ca="1">VLOOKUP(A23,INDIRECT('LOCCS Import'!$G$3&amp;"$A$3"):INDIRECT('LOCCS Import'!$G$3&amp;"$O$54"),7,)</f>
        <v>4.7</v>
      </c>
      <c r="Y23" s="60">
        <f ca="1">VLOOKUP(A23,INDIRECT('LOCCS Import'!$F$3&amp;"$A$3"):INDIRECT('LOCCS Import'!$F$3&amp;"$O$54"),7,)</f>
        <v>4.66</v>
      </c>
      <c r="Z23" s="60">
        <f ca="1">VLOOKUP(A23,INDIRECT('LOCCS Import'!$E$3&amp;"$A$3"):INDIRECT('LOCCS Import'!$E$3&amp;"$O$54"),7,)</f>
        <v>4.5199999999999996</v>
      </c>
      <c r="AA23" s="60">
        <f>VLOOKUP(A23,template!$A$3:$P$54,7,)</f>
        <v>5.47</v>
      </c>
      <c r="AB23" s="58">
        <f t="shared" ca="1" si="0"/>
        <v>5.59</v>
      </c>
      <c r="AC23" s="60">
        <f t="shared" ca="1" si="1"/>
        <v>4.5199999999999996</v>
      </c>
      <c r="AD23" s="61">
        <f t="shared" ca="1" si="2"/>
        <v>5.2491666666666665</v>
      </c>
      <c r="AE23" s="84">
        <f t="shared" ca="1" si="3"/>
        <v>47</v>
      </c>
      <c r="AF23" s="138"/>
      <c r="AG23" s="3">
        <f ca="1">VLOOKUP(A23,INDIRECT('LOCCS Import'!$AA$3&amp;"$A$3"):INDIRECT('LOCCS Import'!$AA$3&amp;"$O$54"),8,)</f>
        <v>0.8</v>
      </c>
      <c r="AH23" s="1">
        <f ca="1">VLOOKUP(A23,INDIRECT('LOCCS Import'!$Z$3&amp;"$A$3"):INDIRECT('LOCCS Import'!$Z$3&amp;"$O$54"),8,)</f>
        <v>0.77</v>
      </c>
      <c r="AI23" s="1">
        <f ca="1">VLOOKUP(A23,INDIRECT('LOCCS Import'!$Y$3&amp;"$A$3"):INDIRECT('LOCCS Import'!$Y$3&amp;"$O$54"),8,)</f>
        <v>0.67</v>
      </c>
      <c r="AJ23" s="1">
        <f ca="1">VLOOKUP(A23,INDIRECT('LOCCS Import'!$X$3&amp;"$A$3"):INDIRECT('LOCCS Import'!$X$3&amp;"$O$54"),8,)</f>
        <v>0.69</v>
      </c>
      <c r="AK23" s="1">
        <f ca="1">VLOOKUP(A23,INDIRECT('LOCCS Import'!$W$3&amp;"$A$3"):INDIRECT('LOCCS Import'!$W$3&amp;"$O$54"),8,)</f>
        <v>0.55000000000000004</v>
      </c>
      <c r="AL23" s="1">
        <f ca="1">VLOOKUP(A23,INDIRECT('LOCCS Import'!$V$3&amp;"$A$3"):INDIRECT('LOCCS Import'!$V$3&amp;"$O$54"),8,)</f>
        <v>0.56000000000000005</v>
      </c>
      <c r="AM23" s="1">
        <f ca="1">VLOOKUP(A23,INDIRECT('LOCCS Import'!$U$3&amp;"$A$3"):INDIRECT('LOCCS Import'!$U$3&amp;"$O$54"),8,)</f>
        <v>0.56000000000000005</v>
      </c>
      <c r="AN23" s="1">
        <f ca="1">VLOOKUP(A23,INDIRECT('LOCCS Import'!$T$3&amp;"$A$3"):INDIRECT('LOCCS Import'!$T$3&amp;"$O$54"),8,)</f>
        <v>0.37</v>
      </c>
      <c r="AO23" s="1">
        <f ca="1">VLOOKUP(A23,INDIRECT('LOCCS Import'!$S$3&amp;"$A$3"):INDIRECT('LOCCS Import'!$S$3&amp;"$O$54"),8,)</f>
        <v>0.41</v>
      </c>
      <c r="AP23" s="1">
        <f ca="1">VLOOKUP(A23,INDIRECT('LOCCS Import'!$R$3&amp;"$A$3"):INDIRECT('LOCCS Import'!$R$3&amp;"$O$54"),8,)</f>
        <v>0.38</v>
      </c>
      <c r="AQ23" s="1">
        <f ca="1">VLOOKUP(A23,INDIRECT('LOCCS Import'!$Q$3&amp;"$A$3"):INDIRECT('LOCCS Import'!$Q$3&amp;"$O$54"),8,)</f>
        <v>0.43</v>
      </c>
      <c r="AR23" s="1">
        <f ca="1">VLOOKUP(A23,INDIRECT('LOCCS Import'!$P$3&amp;"$A$3"):INDIRECT('LOCCS Import'!$P$3&amp;"$O$54"),8,)</f>
        <v>0.42</v>
      </c>
      <c r="AS23" s="1">
        <f ca="1">VLOOKUP(A23,INDIRECT('LOCCS Import'!$O$3&amp;"$A$3"):INDIRECT('LOCCS Import'!$O$3&amp;"$O$54"),8,)</f>
        <v>0.57999999999999996</v>
      </c>
      <c r="AT23" s="1">
        <f ca="1">VLOOKUP(A23,INDIRECT('LOCCS Import'!$N$3&amp;"$A$3"):INDIRECT('LOCCS Import'!$N$3&amp;"$O$54"),8,)</f>
        <v>0.57999999999999996</v>
      </c>
      <c r="AU23" s="1">
        <f ca="1">VLOOKUP(A23,INDIRECT('LOCCS Import'!$M$3&amp;"$A$3"):INDIRECT('LOCCS Import'!$M$3&amp;"$O$54"),8,)</f>
        <v>0.6</v>
      </c>
      <c r="AV23" s="1">
        <f ca="1">VLOOKUP(A23,INDIRECT('LOCCS Import'!$L$3&amp;"$A$3"):INDIRECT('LOCCS Import'!$L$3&amp;"$O$54"),8,)</f>
        <v>0.65</v>
      </c>
      <c r="AW23" s="1">
        <f ca="1">VLOOKUP(A23,INDIRECT('LOCCS Import'!$K$3&amp;"$A$3"):INDIRECT('LOCCS Import'!$K$3&amp;"$O$54"),8,)</f>
        <v>0.68</v>
      </c>
      <c r="AX23" s="1">
        <f ca="1">VLOOKUP(A23,INDIRECT('LOCCS Import'!$J$3&amp;"$A$3"):INDIRECT('LOCCS Import'!$J$3&amp;"$O$54"),8,)</f>
        <v>0.72</v>
      </c>
      <c r="AY23" s="1">
        <f ca="1">VLOOKUP(A23,INDIRECT('LOCCS Import'!$I$3&amp;"$A$3"):INDIRECT('LOCCS Import'!$I$3&amp;"$O$54"),8,)</f>
        <v>0.66</v>
      </c>
      <c r="AZ23" s="1">
        <f ca="1">VLOOKUP(A23,INDIRECT('LOCCS Import'!$H$3&amp;"$A$3"):INDIRECT('LOCCS Import'!$H$3&amp;"$O$54"),8,)</f>
        <v>0.66</v>
      </c>
      <c r="BA23" s="1">
        <f ca="1">VLOOKUP(A23,INDIRECT('LOCCS Import'!$G$3&amp;"$A$3"):INDIRECT('LOCCS Import'!$G$3&amp;"$O$54"),8,)</f>
        <v>1.2</v>
      </c>
      <c r="BB23" s="1">
        <f ca="1">VLOOKUP(A23,INDIRECT('LOCCS Import'!$F$3&amp;"$A$3"):INDIRECT('LOCCS Import'!$F$3&amp;"$O$54"),8,)</f>
        <v>1.19</v>
      </c>
      <c r="BC23" s="1">
        <f ca="1">VLOOKUP(A23,INDIRECT('LOCCS Import'!$E$3&amp;"$A$3"):INDIRECT('LOCCS Import'!$E$3&amp;"$O$54"),8,)</f>
        <v>1.25</v>
      </c>
      <c r="BD23" s="2">
        <f>VLOOKUP(A23,template!$A$3:$P$54,8,)</f>
        <v>1.26</v>
      </c>
      <c r="BE23" s="2">
        <f t="shared" ca="1" si="4"/>
        <v>0.83583333333333332</v>
      </c>
      <c r="BF23" s="115">
        <f t="shared" ca="1" si="5"/>
        <v>37</v>
      </c>
    </row>
    <row r="24" spans="1:58" x14ac:dyDescent="0.3">
      <c r="A24" s="67" t="s">
        <v>36</v>
      </c>
      <c r="B24" s="64" t="s">
        <v>69</v>
      </c>
      <c r="C24" s="64" t="s">
        <v>103</v>
      </c>
      <c r="D24" s="60">
        <f ca="1">VLOOKUP(A24,INDIRECT('LOCCS Import'!$AA$3&amp;"$A$3"):INDIRECT('LOCCS Import'!$AA$3&amp;"$O$54"),7,)</f>
        <v>4.51</v>
      </c>
      <c r="E24" s="60">
        <f ca="1">VLOOKUP(A24,INDIRECT('LOCCS Import'!$Z$3&amp;"$A$3"):INDIRECT('LOCCS Import'!$Z$3&amp;"$O$54"),7,)</f>
        <v>4.3099999999999996</v>
      </c>
      <c r="F24" s="60">
        <f ca="1">VLOOKUP(A24,INDIRECT('LOCCS Import'!$Y$3&amp;"$A$3"):INDIRECT('LOCCS Import'!$Y$3&amp;"$O$54"),7,)</f>
        <v>4.22</v>
      </c>
      <c r="G24" s="60">
        <f ca="1">VLOOKUP(A24,INDIRECT('LOCCS Import'!$X$3&amp;"$A$3"):INDIRECT('LOCCS Import'!$X$3&amp;"$O$54"),7,)</f>
        <v>4.17</v>
      </c>
      <c r="H24" s="60">
        <f ca="1">VLOOKUP(A24,INDIRECT('LOCCS Import'!$W$3&amp;"$A$3"):INDIRECT('LOCCS Import'!$W$3&amp;"$O$54"),7,)</f>
        <v>4.17</v>
      </c>
      <c r="I24" s="60">
        <f ca="1">VLOOKUP(A24,INDIRECT('LOCCS Import'!$V$3&amp;"$A$3"):INDIRECT('LOCCS Import'!$V$3&amp;"$O$54"),7,)</f>
        <v>4.0999999999999996</v>
      </c>
      <c r="J24" s="60">
        <f ca="1">VLOOKUP(A24,INDIRECT('LOCCS Import'!$U$3&amp;"$A$3"):INDIRECT('LOCCS Import'!$U$3&amp;"$O$54"),7,)</f>
        <v>4.0999999999999996</v>
      </c>
      <c r="K24" s="60">
        <f ca="1">VLOOKUP(A24,INDIRECT('LOCCS Import'!$T$3&amp;"$A$3"):INDIRECT('LOCCS Import'!$T$3&amp;"$O$54"),7,)</f>
        <v>3.99</v>
      </c>
      <c r="L24" s="60">
        <f ca="1">VLOOKUP(A24,INDIRECT('LOCCS Import'!$S$3&amp;"$A$3"):INDIRECT('LOCCS Import'!$S$3&amp;"$O$54"),7,)</f>
        <v>3.97</v>
      </c>
      <c r="M24" s="60">
        <f ca="1">VLOOKUP(A24,INDIRECT('LOCCS Import'!$R$3&amp;"$A$3"):INDIRECT('LOCCS Import'!$R$3&amp;"$O$54"),7,)</f>
        <v>3.93</v>
      </c>
      <c r="N24" s="60">
        <f ca="1">VLOOKUP(A24,INDIRECT('LOCCS Import'!$Q$3&amp;"$A$3"):INDIRECT('LOCCS Import'!$Q$3&amp;"$O$54"),7,)</f>
        <v>3.72</v>
      </c>
      <c r="O24" s="60">
        <f ca="1">VLOOKUP(A24,INDIRECT('LOCCS Import'!$P$3&amp;"$A$3"):INDIRECT('LOCCS Import'!$P$3&amp;"$O$54"),7,)</f>
        <v>4.67</v>
      </c>
      <c r="P24" s="60">
        <f ca="1">VLOOKUP(A24,INDIRECT('LOCCS Import'!$O$3&amp;"$A$3"):INDIRECT('LOCCS Import'!$O$3&amp;"$O$54"),7,)</f>
        <v>4.53</v>
      </c>
      <c r="Q24" s="60">
        <f ca="1">VLOOKUP(A24,INDIRECT('LOCCS Import'!$N$3&amp;"$A$3"):INDIRECT('LOCCS Import'!$N$3&amp;"$O$54"),7,)</f>
        <v>4.41</v>
      </c>
      <c r="R24" s="60">
        <f ca="1">VLOOKUP(A24,INDIRECT('LOCCS Import'!$M$3&amp;"$A$3"):INDIRECT('LOCCS Import'!$M$3&amp;"$O$54"),7,)</f>
        <v>4.3499999999999996</v>
      </c>
      <c r="S24" s="60">
        <f ca="1">VLOOKUP(A24,INDIRECT('LOCCS Import'!$L$3&amp;"$A$3"):INDIRECT('LOCCS Import'!$L$3&amp;"$O$54"),7,)</f>
        <v>4.28</v>
      </c>
      <c r="T24" s="60">
        <f ca="1">VLOOKUP(A24,INDIRECT('LOCCS Import'!$K$3&amp;"$A$3"):INDIRECT('LOCCS Import'!$K$3&amp;"$O$54"),7,)</f>
        <v>4.21</v>
      </c>
      <c r="U24" s="60">
        <f ca="1">VLOOKUP(A24,INDIRECT('LOCCS Import'!$J$3&amp;"$A$3"):INDIRECT('LOCCS Import'!$J$3&amp;"$O$54"),7,)</f>
        <v>4.17</v>
      </c>
      <c r="V24" s="60">
        <f ca="1">VLOOKUP(A24,INDIRECT('LOCCS Import'!$I$3&amp;"$A$3"):INDIRECT('LOCCS Import'!$I$3&amp;"$O$54"),7,)</f>
        <v>4.09</v>
      </c>
      <c r="W24" s="60">
        <f ca="1">VLOOKUP(A24,INDIRECT('LOCCS Import'!$H$3&amp;"$A$3"):INDIRECT('LOCCS Import'!$H$3&amp;"$O$54"),7,)</f>
        <v>4.04</v>
      </c>
      <c r="X24" s="60">
        <f ca="1">VLOOKUP(A24,INDIRECT('LOCCS Import'!$G$3&amp;"$A$3"):INDIRECT('LOCCS Import'!$G$3&amp;"$O$54"),7,)</f>
        <v>3.97</v>
      </c>
      <c r="Y24" s="60">
        <f ca="1">VLOOKUP(A24,INDIRECT('LOCCS Import'!$F$3&amp;"$A$3"):INDIRECT('LOCCS Import'!$F$3&amp;"$O$54"),7,)</f>
        <v>3.85</v>
      </c>
      <c r="Z24" s="60">
        <f ca="1">VLOOKUP(A24,INDIRECT('LOCCS Import'!$E$3&amp;"$A$3"):INDIRECT('LOCCS Import'!$E$3&amp;"$O$54"),7,)</f>
        <v>3.85</v>
      </c>
      <c r="AA24" s="60">
        <f>VLOOKUP(A24,template!$A$3:$P$54,7,)</f>
        <v>3.82</v>
      </c>
      <c r="AB24" s="58">
        <f t="shared" ca="1" si="0"/>
        <v>4.53</v>
      </c>
      <c r="AC24" s="60">
        <f t="shared" ca="1" si="1"/>
        <v>3.82</v>
      </c>
      <c r="AD24" s="61">
        <f t="shared" ca="1" si="2"/>
        <v>4.1308333333333342</v>
      </c>
      <c r="AE24" s="84">
        <f t="shared" ca="1" si="3"/>
        <v>43</v>
      </c>
      <c r="AF24" s="138"/>
      <c r="AG24" s="3">
        <f ca="1">VLOOKUP(A24,INDIRECT('LOCCS Import'!$AA$3&amp;"$A$3"):INDIRECT('LOCCS Import'!$AA$3&amp;"$O$54"),8,)</f>
        <v>0.81</v>
      </c>
      <c r="AH24" s="1">
        <f ca="1">VLOOKUP(A24,INDIRECT('LOCCS Import'!$Z$3&amp;"$A$3"):INDIRECT('LOCCS Import'!$Z$3&amp;"$O$54"),8,)</f>
        <v>0.96</v>
      </c>
      <c r="AI24" s="1">
        <f ca="1">VLOOKUP(A24,INDIRECT('LOCCS Import'!$Y$3&amp;"$A$3"):INDIRECT('LOCCS Import'!$Y$3&amp;"$O$54"),8,)</f>
        <v>0.99</v>
      </c>
      <c r="AJ24" s="1">
        <f ca="1">VLOOKUP(A24,INDIRECT('LOCCS Import'!$X$3&amp;"$A$3"):INDIRECT('LOCCS Import'!$X$3&amp;"$O$54"),8,)</f>
        <v>0.95</v>
      </c>
      <c r="AK24" s="1">
        <f ca="1">VLOOKUP(A24,INDIRECT('LOCCS Import'!$W$3&amp;"$A$3"):INDIRECT('LOCCS Import'!$W$3&amp;"$O$54"),8,)</f>
        <v>0.95</v>
      </c>
      <c r="AL24" s="1">
        <f ca="1">VLOOKUP(A24,INDIRECT('LOCCS Import'!$V$3&amp;"$A$3"):INDIRECT('LOCCS Import'!$V$3&amp;"$O$54"),8,)</f>
        <v>0.98</v>
      </c>
      <c r="AM24" s="1">
        <f ca="1">VLOOKUP(A24,INDIRECT('LOCCS Import'!$U$3&amp;"$A$3"):INDIRECT('LOCCS Import'!$U$3&amp;"$O$54"),8,)</f>
        <v>0.98</v>
      </c>
      <c r="AN24" s="1">
        <f ca="1">VLOOKUP(A24,INDIRECT('LOCCS Import'!$T$3&amp;"$A$3"):INDIRECT('LOCCS Import'!$T$3&amp;"$O$54"),8,)</f>
        <v>1</v>
      </c>
      <c r="AO24" s="1">
        <f ca="1">VLOOKUP(A24,INDIRECT('LOCCS Import'!$S$3&amp;"$A$3"):INDIRECT('LOCCS Import'!$S$3&amp;"$O$54"),8,)</f>
        <v>0.93</v>
      </c>
      <c r="AP24" s="1">
        <f ca="1">VLOOKUP(A24,INDIRECT('LOCCS Import'!$R$3&amp;"$A$3"):INDIRECT('LOCCS Import'!$R$3&amp;"$O$54"),8,)</f>
        <v>0.84</v>
      </c>
      <c r="AQ24" s="1">
        <f ca="1">VLOOKUP(A24,INDIRECT('LOCCS Import'!$Q$3&amp;"$A$3"):INDIRECT('LOCCS Import'!$Q$3&amp;"$O$54"),8,)</f>
        <v>0.94</v>
      </c>
      <c r="AR24" s="1">
        <f ca="1">VLOOKUP(A24,INDIRECT('LOCCS Import'!$P$3&amp;"$A$3"):INDIRECT('LOCCS Import'!$P$3&amp;"$O$54"),8,)</f>
        <v>0.83</v>
      </c>
      <c r="AS24" s="1">
        <f ca="1">VLOOKUP(A24,INDIRECT('LOCCS Import'!$O$3&amp;"$A$3"):INDIRECT('LOCCS Import'!$O$3&amp;"$O$54"),8,)</f>
        <v>0.91</v>
      </c>
      <c r="AT24" s="1">
        <f ca="1">VLOOKUP(A24,INDIRECT('LOCCS Import'!$N$3&amp;"$A$3"):INDIRECT('LOCCS Import'!$N$3&amp;"$O$54"),8,)</f>
        <v>0.84</v>
      </c>
      <c r="AU24" s="1">
        <f ca="1">VLOOKUP(A24,INDIRECT('LOCCS Import'!$M$3&amp;"$A$3"):INDIRECT('LOCCS Import'!$M$3&amp;"$O$54"),8,)</f>
        <v>0.81</v>
      </c>
      <c r="AV24" s="1">
        <f ca="1">VLOOKUP(A24,INDIRECT('LOCCS Import'!$L$3&amp;"$A$3"):INDIRECT('LOCCS Import'!$L$3&amp;"$O$54"),8,)</f>
        <v>0.83</v>
      </c>
      <c r="AW24" s="1">
        <f ca="1">VLOOKUP(A24,INDIRECT('LOCCS Import'!$K$3&amp;"$A$3"):INDIRECT('LOCCS Import'!$K$3&amp;"$O$54"),8,)</f>
        <v>0.9</v>
      </c>
      <c r="AX24" s="1">
        <f ca="1">VLOOKUP(A24,INDIRECT('LOCCS Import'!$J$3&amp;"$A$3"):INDIRECT('LOCCS Import'!$J$3&amp;"$O$54"),8,)</f>
        <v>0.88</v>
      </c>
      <c r="AY24" s="1">
        <f ca="1">VLOOKUP(A24,INDIRECT('LOCCS Import'!$I$3&amp;"$A$3"):INDIRECT('LOCCS Import'!$I$3&amp;"$O$54"),8,)</f>
        <v>0.91</v>
      </c>
      <c r="AZ24" s="1">
        <f ca="1">VLOOKUP(A24,INDIRECT('LOCCS Import'!$H$3&amp;"$A$3"):INDIRECT('LOCCS Import'!$H$3&amp;"$O$54"),8,)</f>
        <v>0.9</v>
      </c>
      <c r="BA24" s="1">
        <f ca="1">VLOOKUP(A24,INDIRECT('LOCCS Import'!$G$3&amp;"$A$3"):INDIRECT('LOCCS Import'!$G$3&amp;"$O$54"),8,)</f>
        <v>0.95</v>
      </c>
      <c r="BB24" s="1">
        <f ca="1">VLOOKUP(A24,INDIRECT('LOCCS Import'!$F$3&amp;"$A$3"):INDIRECT('LOCCS Import'!$F$3&amp;"$O$54"),8,)</f>
        <v>0.95</v>
      </c>
      <c r="BC24" s="1">
        <f ca="1">VLOOKUP(A24,INDIRECT('LOCCS Import'!$E$3&amp;"$A$3"):INDIRECT('LOCCS Import'!$E$3&amp;"$O$54"),8,)</f>
        <v>0.82</v>
      </c>
      <c r="BD24" s="2">
        <f>VLOOKUP(A24,template!$A$3:$P$54,8,)</f>
        <v>0.85</v>
      </c>
      <c r="BE24" s="2">
        <f t="shared" ca="1" si="4"/>
        <v>0.87916666666666676</v>
      </c>
      <c r="BF24" s="115">
        <f t="shared" ca="1" si="5"/>
        <v>30</v>
      </c>
    </row>
    <row r="25" spans="1:58" x14ac:dyDescent="0.3">
      <c r="A25" s="67" t="s">
        <v>37</v>
      </c>
      <c r="B25" s="64" t="s">
        <v>73</v>
      </c>
      <c r="C25" s="64" t="s">
        <v>104</v>
      </c>
      <c r="D25" s="60">
        <f ca="1">VLOOKUP(A25,INDIRECT('LOCCS Import'!$AA$3&amp;"$A$3"):INDIRECT('LOCCS Import'!$AA$3&amp;"$O$54"),7,)</f>
        <v>2.2999999999999998</v>
      </c>
      <c r="E25" s="60">
        <f ca="1">VLOOKUP(A25,INDIRECT('LOCCS Import'!$Z$3&amp;"$A$3"):INDIRECT('LOCCS Import'!$Z$3&amp;"$O$54"),7,)</f>
        <v>2.2799999999999998</v>
      </c>
      <c r="F25" s="60">
        <f ca="1">VLOOKUP(A25,INDIRECT('LOCCS Import'!$Y$3&amp;"$A$3"):INDIRECT('LOCCS Import'!$Y$3&amp;"$O$54"),7,)</f>
        <v>2.1800000000000002</v>
      </c>
      <c r="G25" s="60">
        <f ca="1">VLOOKUP(A25,INDIRECT('LOCCS Import'!$X$3&amp;"$A$3"):INDIRECT('LOCCS Import'!$X$3&amp;"$O$54"),7,)</f>
        <v>3.11</v>
      </c>
      <c r="H25" s="60">
        <f ca="1">VLOOKUP(A25,INDIRECT('LOCCS Import'!$W$3&amp;"$A$3"):INDIRECT('LOCCS Import'!$W$3&amp;"$O$54"),7,)</f>
        <v>3.02</v>
      </c>
      <c r="I25" s="60">
        <f ca="1">VLOOKUP(A25,INDIRECT('LOCCS Import'!$V$3&amp;"$A$3"):INDIRECT('LOCCS Import'!$V$3&amp;"$O$54"),7,)</f>
        <v>2.94</v>
      </c>
      <c r="J25" s="60">
        <f ca="1">VLOOKUP(A25,INDIRECT('LOCCS Import'!$U$3&amp;"$A$3"):INDIRECT('LOCCS Import'!$U$3&amp;"$O$54"),7,)</f>
        <v>2.94</v>
      </c>
      <c r="K25" s="60">
        <f ca="1">VLOOKUP(A25,INDIRECT('LOCCS Import'!$T$3&amp;"$A$3"):INDIRECT('LOCCS Import'!$T$3&amp;"$O$54"),7,)</f>
        <v>2.86</v>
      </c>
      <c r="L25" s="60">
        <f ca="1">VLOOKUP(A25,INDIRECT('LOCCS Import'!$S$3&amp;"$A$3"):INDIRECT('LOCCS Import'!$S$3&amp;"$O$54"),7,)</f>
        <v>2.77</v>
      </c>
      <c r="M25" s="60">
        <f ca="1">VLOOKUP(A25,INDIRECT('LOCCS Import'!$R$3&amp;"$A$3"):INDIRECT('LOCCS Import'!$R$3&amp;"$O$54"),7,)</f>
        <v>2.74</v>
      </c>
      <c r="N25" s="60">
        <f ca="1">VLOOKUP(A25,INDIRECT('LOCCS Import'!$Q$3&amp;"$A$3"):INDIRECT('LOCCS Import'!$Q$3&amp;"$O$54"),7,)</f>
        <v>2.66</v>
      </c>
      <c r="O25" s="60">
        <f ca="1">VLOOKUP(A25,INDIRECT('LOCCS Import'!$P$3&amp;"$A$3"):INDIRECT('LOCCS Import'!$P$3&amp;"$O$54"),7,)</f>
        <v>2.58</v>
      </c>
      <c r="P25" s="60">
        <f ca="1">VLOOKUP(A25,INDIRECT('LOCCS Import'!$O$3&amp;"$A$3"):INDIRECT('LOCCS Import'!$O$3&amp;"$O$54"),7,)</f>
        <v>2.5</v>
      </c>
      <c r="Q25" s="60">
        <f ca="1">VLOOKUP(A25,INDIRECT('LOCCS Import'!$N$3&amp;"$A$3"):INDIRECT('LOCCS Import'!$N$3&amp;"$O$54"),7,)</f>
        <v>2.4500000000000002</v>
      </c>
      <c r="R25" s="60">
        <f ca="1">VLOOKUP(A25,INDIRECT('LOCCS Import'!$M$3&amp;"$A$3"):INDIRECT('LOCCS Import'!$M$3&amp;"$O$54"),7,)</f>
        <v>2.41</v>
      </c>
      <c r="S25" s="60">
        <f ca="1">VLOOKUP(A25,INDIRECT('LOCCS Import'!$L$3&amp;"$A$3"):INDIRECT('LOCCS Import'!$L$3&amp;"$O$54"),7,)</f>
        <v>2.39</v>
      </c>
      <c r="T25" s="60">
        <f ca="1">VLOOKUP(A25,INDIRECT('LOCCS Import'!$K$3&amp;"$A$3"):INDIRECT('LOCCS Import'!$K$3&amp;"$O$54"),7,)</f>
        <v>3.33</v>
      </c>
      <c r="U25" s="60">
        <f ca="1">VLOOKUP(A25,INDIRECT('LOCCS Import'!$J$3&amp;"$A$3"):INDIRECT('LOCCS Import'!$J$3&amp;"$O$54"),7,)</f>
        <v>3.23</v>
      </c>
      <c r="V25" s="60">
        <f ca="1">VLOOKUP(A25,INDIRECT('LOCCS Import'!$I$3&amp;"$A$3"):INDIRECT('LOCCS Import'!$I$3&amp;"$O$54"),7,)</f>
        <v>3.12</v>
      </c>
      <c r="W25" s="60">
        <f ca="1">VLOOKUP(A25,INDIRECT('LOCCS Import'!$H$3&amp;"$A$3"):INDIRECT('LOCCS Import'!$H$3&amp;"$O$54"),7,)</f>
        <v>3.11</v>
      </c>
      <c r="X25" s="60">
        <f ca="1">VLOOKUP(A25,INDIRECT('LOCCS Import'!$G$3&amp;"$A$3"):INDIRECT('LOCCS Import'!$G$3&amp;"$O$54"),7,)</f>
        <v>2.91</v>
      </c>
      <c r="Y25" s="60">
        <f ca="1">VLOOKUP(A25,INDIRECT('LOCCS Import'!$F$3&amp;"$A$3"):INDIRECT('LOCCS Import'!$F$3&amp;"$O$54"),7,)</f>
        <v>2.8</v>
      </c>
      <c r="Z25" s="60">
        <f ca="1">VLOOKUP(A25,INDIRECT('LOCCS Import'!$E$3&amp;"$A$3"):INDIRECT('LOCCS Import'!$E$3&amp;"$O$54"),7,)</f>
        <v>2.71</v>
      </c>
      <c r="AA25" s="60">
        <f>VLOOKUP(A25,template!$A$3:$P$54,7,)</f>
        <v>2.59</v>
      </c>
      <c r="AB25" s="58">
        <f t="shared" ca="1" si="0"/>
        <v>3.33</v>
      </c>
      <c r="AC25" s="60">
        <f t="shared" ca="1" si="1"/>
        <v>2.39</v>
      </c>
      <c r="AD25" s="61">
        <f t="shared" ca="1" si="2"/>
        <v>2.7958333333333329</v>
      </c>
      <c r="AE25" s="84">
        <f t="shared" ca="1" si="3"/>
        <v>20</v>
      </c>
      <c r="AF25" s="138"/>
      <c r="AG25" s="3">
        <f ca="1">VLOOKUP(A25,INDIRECT('LOCCS Import'!$AA$3&amp;"$A$3"):INDIRECT('LOCCS Import'!$AA$3&amp;"$O$54"),8,)</f>
        <v>0.76</v>
      </c>
      <c r="AH25" s="1">
        <f ca="1">VLOOKUP(A25,INDIRECT('LOCCS Import'!$Z$3&amp;"$A$3"):INDIRECT('LOCCS Import'!$Z$3&amp;"$O$54"),8,)</f>
        <v>0.74</v>
      </c>
      <c r="AI25" s="1">
        <f ca="1">VLOOKUP(A25,INDIRECT('LOCCS Import'!$Y$3&amp;"$A$3"):INDIRECT('LOCCS Import'!$Y$3&amp;"$O$54"),8,)</f>
        <v>0.77</v>
      </c>
      <c r="AJ25" s="1">
        <f ca="1">VLOOKUP(A25,INDIRECT('LOCCS Import'!$X$3&amp;"$A$3"):INDIRECT('LOCCS Import'!$X$3&amp;"$O$54"),8,)</f>
        <v>0.85</v>
      </c>
      <c r="AK25" s="1">
        <f ca="1">VLOOKUP(A25,INDIRECT('LOCCS Import'!$W$3&amp;"$A$3"):INDIRECT('LOCCS Import'!$W$3&amp;"$O$54"),8,)</f>
        <v>0.91</v>
      </c>
      <c r="AL25" s="1">
        <f ca="1">VLOOKUP(A25,INDIRECT('LOCCS Import'!$V$3&amp;"$A$3"):INDIRECT('LOCCS Import'!$V$3&amp;"$O$54"),8,)</f>
        <v>0.89</v>
      </c>
      <c r="AM25" s="1">
        <f ca="1">VLOOKUP(A25,INDIRECT('LOCCS Import'!$U$3&amp;"$A$3"):INDIRECT('LOCCS Import'!$U$3&amp;"$O$54"),8,)</f>
        <v>0.89</v>
      </c>
      <c r="AN25" s="1">
        <f ca="1">VLOOKUP(A25,INDIRECT('LOCCS Import'!$T$3&amp;"$A$3"):INDIRECT('LOCCS Import'!$T$3&amp;"$O$54"),8,)</f>
        <v>0.9</v>
      </c>
      <c r="AO25" s="1">
        <f ca="1">VLOOKUP(A25,INDIRECT('LOCCS Import'!$S$3&amp;"$A$3"):INDIRECT('LOCCS Import'!$S$3&amp;"$O$54"),8,)</f>
        <v>0.8</v>
      </c>
      <c r="AP25" s="1">
        <f ca="1">VLOOKUP(A25,INDIRECT('LOCCS Import'!$R$3&amp;"$A$3"):INDIRECT('LOCCS Import'!$R$3&amp;"$O$54"),8,)</f>
        <v>0.79</v>
      </c>
      <c r="AQ25" s="1">
        <f ca="1">VLOOKUP(A25,INDIRECT('LOCCS Import'!$Q$3&amp;"$A$3"):INDIRECT('LOCCS Import'!$Q$3&amp;"$O$54"),8,)</f>
        <v>0.76</v>
      </c>
      <c r="AR25" s="1">
        <f ca="1">VLOOKUP(A25,INDIRECT('LOCCS Import'!$P$3&amp;"$A$3"):INDIRECT('LOCCS Import'!$P$3&amp;"$O$54"),8,)</f>
        <v>0.82</v>
      </c>
      <c r="AS25" s="1">
        <f ca="1">VLOOKUP(A25,INDIRECT('LOCCS Import'!$O$3&amp;"$A$3"):INDIRECT('LOCCS Import'!$O$3&amp;"$O$54"),8,)</f>
        <v>0.8</v>
      </c>
      <c r="AT25" s="1">
        <f ca="1">VLOOKUP(A25,INDIRECT('LOCCS Import'!$N$3&amp;"$A$3"):INDIRECT('LOCCS Import'!$N$3&amp;"$O$54"),8,)</f>
        <v>0.84</v>
      </c>
      <c r="AU25" s="1">
        <f ca="1">VLOOKUP(A25,INDIRECT('LOCCS Import'!$M$3&amp;"$A$3"):INDIRECT('LOCCS Import'!$M$3&amp;"$O$54"),8,)</f>
        <v>0.79</v>
      </c>
      <c r="AV25" s="1">
        <f ca="1">VLOOKUP(A25,INDIRECT('LOCCS Import'!$L$3&amp;"$A$3"):INDIRECT('LOCCS Import'!$L$3&amp;"$O$54"),8,)</f>
        <v>0.72</v>
      </c>
      <c r="AW25" s="1">
        <f ca="1">VLOOKUP(A25,INDIRECT('LOCCS Import'!$K$3&amp;"$A$3"):INDIRECT('LOCCS Import'!$K$3&amp;"$O$54"),8,)</f>
        <v>0.72</v>
      </c>
      <c r="AX25" s="1">
        <f ca="1">VLOOKUP(A25,INDIRECT('LOCCS Import'!$J$3&amp;"$A$3"):INDIRECT('LOCCS Import'!$J$3&amp;"$O$54"),8,)</f>
        <v>0.75</v>
      </c>
      <c r="AY25" s="1">
        <f ca="1">VLOOKUP(A25,INDIRECT('LOCCS Import'!$I$3&amp;"$A$3"):INDIRECT('LOCCS Import'!$I$3&amp;"$O$54"),8,)</f>
        <v>0.8</v>
      </c>
      <c r="AZ25" s="1">
        <f ca="1">VLOOKUP(A25,INDIRECT('LOCCS Import'!$H$3&amp;"$A$3"):INDIRECT('LOCCS Import'!$H$3&amp;"$O$54"),8,)</f>
        <v>0.78</v>
      </c>
      <c r="BA25" s="1">
        <f ca="1">VLOOKUP(A25,INDIRECT('LOCCS Import'!$G$3&amp;"$A$3"):INDIRECT('LOCCS Import'!$G$3&amp;"$O$54"),8,)</f>
        <v>0.89</v>
      </c>
      <c r="BB25" s="1">
        <f ca="1">VLOOKUP(A25,INDIRECT('LOCCS Import'!$F$3&amp;"$A$3"):INDIRECT('LOCCS Import'!$F$3&amp;"$O$54"),8,)</f>
        <v>0.98</v>
      </c>
      <c r="BC25" s="1">
        <f ca="1">VLOOKUP(A25,INDIRECT('LOCCS Import'!$E$3&amp;"$A$3"):INDIRECT('LOCCS Import'!$E$3&amp;"$O$54"),8,)</f>
        <v>0.97</v>
      </c>
      <c r="BD25" s="2">
        <f>VLOOKUP(A25,template!$A$3:$P$54,8,)</f>
        <v>1</v>
      </c>
      <c r="BE25" s="2">
        <f t="shared" ca="1" si="4"/>
        <v>0.83666666666666678</v>
      </c>
      <c r="BF25" s="115">
        <f t="shared" ca="1" si="5"/>
        <v>36</v>
      </c>
    </row>
    <row r="26" spans="1:58" x14ac:dyDescent="0.3">
      <c r="A26" s="67" t="s">
        <v>38</v>
      </c>
      <c r="B26" s="64" t="s">
        <v>72</v>
      </c>
      <c r="C26" s="64" t="s">
        <v>105</v>
      </c>
      <c r="D26" s="60">
        <f ca="1">VLOOKUP(A26,INDIRECT('LOCCS Import'!$AA$3&amp;"$A$3"):INDIRECT('LOCCS Import'!$AA$3&amp;"$O$54"),7,)</f>
        <v>2.8</v>
      </c>
      <c r="E26" s="60">
        <f ca="1">VLOOKUP(A26,INDIRECT('LOCCS Import'!$Z$3&amp;"$A$3"):INDIRECT('LOCCS Import'!$Z$3&amp;"$O$54"),7,)</f>
        <v>2.68</v>
      </c>
      <c r="F26" s="60">
        <f ca="1">VLOOKUP(A26,INDIRECT('LOCCS Import'!$Y$3&amp;"$A$3"):INDIRECT('LOCCS Import'!$Y$3&amp;"$O$54"),7,)</f>
        <v>2.56</v>
      </c>
      <c r="G26" s="60">
        <f ca="1">VLOOKUP(A26,INDIRECT('LOCCS Import'!$X$3&amp;"$A$3"):INDIRECT('LOCCS Import'!$X$3&amp;"$O$54"),7,)</f>
        <v>3.54</v>
      </c>
      <c r="H26" s="60">
        <f ca="1">VLOOKUP(A26,INDIRECT('LOCCS Import'!$W$3&amp;"$A$3"):INDIRECT('LOCCS Import'!$W$3&amp;"$O$54"),7,)</f>
        <v>3.4</v>
      </c>
      <c r="I26" s="60">
        <f ca="1">VLOOKUP(A26,INDIRECT('LOCCS Import'!$V$3&amp;"$A$3"):INDIRECT('LOCCS Import'!$V$3&amp;"$O$54"),7,)</f>
        <v>3.34</v>
      </c>
      <c r="J26" s="60">
        <f ca="1">VLOOKUP(A26,INDIRECT('LOCCS Import'!$U$3&amp;"$A$3"):INDIRECT('LOCCS Import'!$U$3&amp;"$O$54"),7,)</f>
        <v>3.34</v>
      </c>
      <c r="K26" s="60">
        <f ca="1">VLOOKUP(A26,INDIRECT('LOCCS Import'!$T$3&amp;"$A$3"):INDIRECT('LOCCS Import'!$T$3&amp;"$O$54"),7,)</f>
        <v>3.24</v>
      </c>
      <c r="L26" s="60">
        <f ca="1">VLOOKUP(A26,INDIRECT('LOCCS Import'!$S$3&amp;"$A$3"):INDIRECT('LOCCS Import'!$S$3&amp;"$O$54"),7,)</f>
        <v>3.17</v>
      </c>
      <c r="M26" s="60">
        <f ca="1">VLOOKUP(A26,INDIRECT('LOCCS Import'!$R$3&amp;"$A$3"):INDIRECT('LOCCS Import'!$R$3&amp;"$O$54"),7,)</f>
        <v>3.13</v>
      </c>
      <c r="N26" s="60">
        <f ca="1">VLOOKUP(A26,INDIRECT('LOCCS Import'!$Q$3&amp;"$A$3"):INDIRECT('LOCCS Import'!$Q$3&amp;"$O$54"),7,)</f>
        <v>3</v>
      </c>
      <c r="O26" s="60">
        <f ca="1">VLOOKUP(A26,INDIRECT('LOCCS Import'!$P$3&amp;"$A$3"):INDIRECT('LOCCS Import'!$P$3&amp;"$O$54"),7,)</f>
        <v>3.97</v>
      </c>
      <c r="P26" s="60">
        <f ca="1">VLOOKUP(A26,INDIRECT('LOCCS Import'!$O$3&amp;"$A$3"):INDIRECT('LOCCS Import'!$O$3&amp;"$O$54"),7,)</f>
        <v>3.79</v>
      </c>
      <c r="Q26" s="60">
        <f ca="1">VLOOKUP(A26,INDIRECT('LOCCS Import'!$N$3&amp;"$A$3"):INDIRECT('LOCCS Import'!$N$3&amp;"$O$54"),7,)</f>
        <v>3.69</v>
      </c>
      <c r="R26" s="60">
        <f ca="1">VLOOKUP(A26,INDIRECT('LOCCS Import'!$M$3&amp;"$A$3"):INDIRECT('LOCCS Import'!$M$3&amp;"$O$54"),7,)</f>
        <v>3.56</v>
      </c>
      <c r="S26" s="60">
        <f ca="1">VLOOKUP(A26,INDIRECT('LOCCS Import'!$L$3&amp;"$A$3"):INDIRECT('LOCCS Import'!$L$3&amp;"$O$54"),7,)</f>
        <v>3.49</v>
      </c>
      <c r="T26" s="60">
        <f ca="1">VLOOKUP(A26,INDIRECT('LOCCS Import'!$K$3&amp;"$A$3"):INDIRECT('LOCCS Import'!$K$3&amp;"$O$54"),7,)</f>
        <v>3.41</v>
      </c>
      <c r="U26" s="60">
        <f ca="1">VLOOKUP(A26,INDIRECT('LOCCS Import'!$J$3&amp;"$A$3"):INDIRECT('LOCCS Import'!$J$3&amp;"$O$54"),7,)</f>
        <v>3.38</v>
      </c>
      <c r="V26" s="60">
        <f ca="1">VLOOKUP(A26,INDIRECT('LOCCS Import'!$I$3&amp;"$A$3"):INDIRECT('LOCCS Import'!$I$3&amp;"$O$54"),7,)</f>
        <v>3.33</v>
      </c>
      <c r="W26" s="60">
        <f ca="1">VLOOKUP(A26,INDIRECT('LOCCS Import'!$H$3&amp;"$A$3"):INDIRECT('LOCCS Import'!$H$3&amp;"$O$54"),7,)</f>
        <v>3.28</v>
      </c>
      <c r="X26" s="60">
        <f ca="1">VLOOKUP(A26,INDIRECT('LOCCS Import'!$G$3&amp;"$A$3"):INDIRECT('LOCCS Import'!$G$3&amp;"$O$54"),7,)</f>
        <v>3.17</v>
      </c>
      <c r="Y26" s="60">
        <f ca="1">VLOOKUP(A26,INDIRECT('LOCCS Import'!$F$3&amp;"$A$3"):INDIRECT('LOCCS Import'!$F$3&amp;"$O$54"),7,)</f>
        <v>3.07</v>
      </c>
      <c r="Z26" s="60">
        <f ca="1">VLOOKUP(A26,INDIRECT('LOCCS Import'!$E$3&amp;"$A$3"):INDIRECT('LOCCS Import'!$E$3&amp;"$O$54"),7,)</f>
        <v>2.96</v>
      </c>
      <c r="AA26" s="60">
        <f>VLOOKUP(A26,template!$A$3:$P$54,7,)</f>
        <v>3.93</v>
      </c>
      <c r="AB26" s="58">
        <f t="shared" ca="1" si="0"/>
        <v>3.93</v>
      </c>
      <c r="AC26" s="60">
        <f t="shared" ca="1" si="1"/>
        <v>2.96</v>
      </c>
      <c r="AD26" s="61">
        <f t="shared" ca="1" si="2"/>
        <v>3.4216666666666669</v>
      </c>
      <c r="AE26" s="84">
        <f t="shared" ca="1" si="3"/>
        <v>33</v>
      </c>
      <c r="AF26" s="138"/>
      <c r="AG26" s="3">
        <f ca="1">VLOOKUP(A26,INDIRECT('LOCCS Import'!$AA$3&amp;"$A$3"):INDIRECT('LOCCS Import'!$AA$3&amp;"$O$54"),8,)</f>
        <v>1.47</v>
      </c>
      <c r="AH26" s="1">
        <f ca="1">VLOOKUP(A26,INDIRECT('LOCCS Import'!$Z$3&amp;"$A$3"):INDIRECT('LOCCS Import'!$Z$3&amp;"$O$54"),8,)</f>
        <v>1.45</v>
      </c>
      <c r="AI26" s="1">
        <f ca="1">VLOOKUP(A26,INDIRECT('LOCCS Import'!$Y$3&amp;"$A$3"):INDIRECT('LOCCS Import'!$Y$3&amp;"$O$54"),8,)</f>
        <v>1.5</v>
      </c>
      <c r="AJ26" s="1">
        <f ca="1">VLOOKUP(A26,INDIRECT('LOCCS Import'!$X$3&amp;"$A$3"):INDIRECT('LOCCS Import'!$X$3&amp;"$O$54"),8,)</f>
        <v>1.37</v>
      </c>
      <c r="AK26" s="1">
        <f ca="1">VLOOKUP(A26,INDIRECT('LOCCS Import'!$W$3&amp;"$A$3"):INDIRECT('LOCCS Import'!$W$3&amp;"$O$54"),8,)</f>
        <v>1.41</v>
      </c>
      <c r="AL26" s="1">
        <f ca="1">VLOOKUP(A26,INDIRECT('LOCCS Import'!$V$3&amp;"$A$3"):INDIRECT('LOCCS Import'!$V$3&amp;"$O$54"),8,)</f>
        <v>1.37</v>
      </c>
      <c r="AM26" s="1">
        <f ca="1">VLOOKUP(A26,INDIRECT('LOCCS Import'!$U$3&amp;"$A$3"):INDIRECT('LOCCS Import'!$U$3&amp;"$O$54"),8,)</f>
        <v>1.37</v>
      </c>
      <c r="AN26" s="1">
        <f ca="1">VLOOKUP(A26,INDIRECT('LOCCS Import'!$T$3&amp;"$A$3"):INDIRECT('LOCCS Import'!$T$3&amp;"$O$54"),8,)</f>
        <v>1.26</v>
      </c>
      <c r="AO26" s="1">
        <f ca="1">VLOOKUP(A26,INDIRECT('LOCCS Import'!$S$3&amp;"$A$3"):INDIRECT('LOCCS Import'!$S$3&amp;"$O$54"),8,)</f>
        <v>1.24</v>
      </c>
      <c r="AP26" s="1">
        <f ca="1">VLOOKUP(A26,INDIRECT('LOCCS Import'!$R$3&amp;"$A$3"):INDIRECT('LOCCS Import'!$R$3&amp;"$O$54"),8,)</f>
        <v>1.05</v>
      </c>
      <c r="AQ26" s="1">
        <f ca="1">VLOOKUP(A26,INDIRECT('LOCCS Import'!$Q$3&amp;"$A$3"):INDIRECT('LOCCS Import'!$Q$3&amp;"$O$54"),8,)</f>
        <v>1.06</v>
      </c>
      <c r="AR26" s="1">
        <f ca="1">VLOOKUP(A26,INDIRECT('LOCCS Import'!$P$3&amp;"$A$3"):INDIRECT('LOCCS Import'!$P$3&amp;"$O$54"),8,)</f>
        <v>1.03</v>
      </c>
      <c r="AS26" s="1">
        <f ca="1">VLOOKUP(A26,INDIRECT('LOCCS Import'!$O$3&amp;"$A$3"):INDIRECT('LOCCS Import'!$O$3&amp;"$O$54"),8,)</f>
        <v>1.0900000000000001</v>
      </c>
      <c r="AT26" s="1">
        <f ca="1">VLOOKUP(A26,INDIRECT('LOCCS Import'!$N$3&amp;"$A$3"):INDIRECT('LOCCS Import'!$N$3&amp;"$O$54"),8,)</f>
        <v>1.07</v>
      </c>
      <c r="AU26" s="1">
        <f ca="1">VLOOKUP(A26,INDIRECT('LOCCS Import'!$M$3&amp;"$A$3"):INDIRECT('LOCCS Import'!$M$3&amp;"$O$54"),8,)</f>
        <v>1.07</v>
      </c>
      <c r="AV26" s="1">
        <f ca="1">VLOOKUP(A26,INDIRECT('LOCCS Import'!$L$3&amp;"$A$3"):INDIRECT('LOCCS Import'!$L$3&amp;"$O$54"),8,)</f>
        <v>1.08</v>
      </c>
      <c r="AW26" s="1">
        <f ca="1">VLOOKUP(A26,INDIRECT('LOCCS Import'!$K$3&amp;"$A$3"):INDIRECT('LOCCS Import'!$K$3&amp;"$O$54"),8,)</f>
        <v>1.01</v>
      </c>
      <c r="AX26" s="1">
        <f ca="1">VLOOKUP(A26,INDIRECT('LOCCS Import'!$J$3&amp;"$A$3"):INDIRECT('LOCCS Import'!$J$3&amp;"$O$54"),8,)</f>
        <v>0.99</v>
      </c>
      <c r="AY26" s="1">
        <f ca="1">VLOOKUP(A26,INDIRECT('LOCCS Import'!$I$3&amp;"$A$3"):INDIRECT('LOCCS Import'!$I$3&amp;"$O$54"),8,)</f>
        <v>0.99</v>
      </c>
      <c r="AZ26" s="1">
        <f ca="1">VLOOKUP(A26,INDIRECT('LOCCS Import'!$H$3&amp;"$A$3"):INDIRECT('LOCCS Import'!$H$3&amp;"$O$54"),8,)</f>
        <v>1</v>
      </c>
      <c r="BA26" s="1">
        <f ca="1">VLOOKUP(A26,INDIRECT('LOCCS Import'!$G$3&amp;"$A$3"):INDIRECT('LOCCS Import'!$G$3&amp;"$O$54"),8,)</f>
        <v>1.02</v>
      </c>
      <c r="BB26" s="1">
        <f ca="1">VLOOKUP(A26,INDIRECT('LOCCS Import'!$F$3&amp;"$A$3"):INDIRECT('LOCCS Import'!$F$3&amp;"$O$54"),8,)</f>
        <v>1.08</v>
      </c>
      <c r="BC26" s="1">
        <f ca="1">VLOOKUP(A26,INDIRECT('LOCCS Import'!$E$3&amp;"$A$3"):INDIRECT('LOCCS Import'!$E$3&amp;"$O$54"),8,)</f>
        <v>1.07</v>
      </c>
      <c r="BD26" s="2">
        <f>VLOOKUP(A26,template!$A$3:$P$54,8,)</f>
        <v>1.1100000000000001</v>
      </c>
      <c r="BE26" s="2">
        <f t="shared" ca="1" si="4"/>
        <v>1.0483333333333333</v>
      </c>
      <c r="BF26" s="115">
        <f t="shared" ca="1" si="5"/>
        <v>14</v>
      </c>
    </row>
    <row r="27" spans="1:58" x14ac:dyDescent="0.3">
      <c r="A27" s="67" t="s">
        <v>39</v>
      </c>
      <c r="B27" s="64" t="s">
        <v>72</v>
      </c>
      <c r="C27" s="64" t="s">
        <v>106</v>
      </c>
      <c r="D27" s="60">
        <f ca="1">VLOOKUP(A27,INDIRECT('LOCCS Import'!$AA$3&amp;"$A$3"):INDIRECT('LOCCS Import'!$AA$3&amp;"$O$54"),7,)</f>
        <v>4.75</v>
      </c>
      <c r="E27" s="60">
        <f ca="1">VLOOKUP(A27,INDIRECT('LOCCS Import'!$Z$3&amp;"$A$3"):INDIRECT('LOCCS Import'!$Z$3&amp;"$O$54"),7,)</f>
        <v>4.59</v>
      </c>
      <c r="F27" s="60">
        <f ca="1">VLOOKUP(A27,INDIRECT('LOCCS Import'!$Y$3&amp;"$A$3"):INDIRECT('LOCCS Import'!$Y$3&amp;"$O$54"),7,)</f>
        <v>4.46</v>
      </c>
      <c r="G27" s="60">
        <f ca="1">VLOOKUP(A27,INDIRECT('LOCCS Import'!$X$3&amp;"$A$3"):INDIRECT('LOCCS Import'!$X$3&amp;"$O$54"),7,)</f>
        <v>4.2300000000000004</v>
      </c>
      <c r="H27" s="60">
        <f ca="1">VLOOKUP(A27,INDIRECT('LOCCS Import'!$W$3&amp;"$A$3"):INDIRECT('LOCCS Import'!$W$3&amp;"$O$54"),7,)</f>
        <v>4.16</v>
      </c>
      <c r="I27" s="60">
        <f ca="1">VLOOKUP(A27,INDIRECT('LOCCS Import'!$V$3&amp;"$A$3"):INDIRECT('LOCCS Import'!$V$3&amp;"$O$54"),7,)</f>
        <v>4.1100000000000003</v>
      </c>
      <c r="J27" s="60">
        <f ca="1">VLOOKUP(A27,INDIRECT('LOCCS Import'!$U$3&amp;"$A$3"):INDIRECT('LOCCS Import'!$U$3&amp;"$O$54"),7,)</f>
        <v>4.1100000000000003</v>
      </c>
      <c r="K27" s="60">
        <f ca="1">VLOOKUP(A27,INDIRECT('LOCCS Import'!$T$3&amp;"$A$3"):INDIRECT('LOCCS Import'!$T$3&amp;"$O$54"),7,)</f>
        <v>3.93</v>
      </c>
      <c r="L27" s="60">
        <f ca="1">VLOOKUP(A27,INDIRECT('LOCCS Import'!$S$3&amp;"$A$3"):INDIRECT('LOCCS Import'!$S$3&amp;"$O$54"),7,)</f>
        <v>3.65</v>
      </c>
      <c r="M27" s="60">
        <f ca="1">VLOOKUP(A27,INDIRECT('LOCCS Import'!$R$3&amp;"$A$3"):INDIRECT('LOCCS Import'!$R$3&amp;"$O$54"),7,)</f>
        <v>3.62</v>
      </c>
      <c r="N27" s="60">
        <f ca="1">VLOOKUP(A27,INDIRECT('LOCCS Import'!$Q$3&amp;"$A$3"):INDIRECT('LOCCS Import'!$Q$3&amp;"$O$54"),7,)</f>
        <v>3.53</v>
      </c>
      <c r="O27" s="60">
        <f ca="1">VLOOKUP(A27,INDIRECT('LOCCS Import'!$P$3&amp;"$A$3"):INDIRECT('LOCCS Import'!$P$3&amp;"$O$54"),7,)</f>
        <v>3.46</v>
      </c>
      <c r="P27" s="60">
        <f ca="1">VLOOKUP(A27,INDIRECT('LOCCS Import'!$O$3&amp;"$A$3"):INDIRECT('LOCCS Import'!$O$3&amp;"$O$54"),7,)</f>
        <v>3.36</v>
      </c>
      <c r="Q27" s="60">
        <f ca="1">VLOOKUP(A27,INDIRECT('LOCCS Import'!$N$3&amp;"$A$3"):INDIRECT('LOCCS Import'!$N$3&amp;"$O$54"),7,)</f>
        <v>3.31</v>
      </c>
      <c r="R27" s="60">
        <f ca="1">VLOOKUP(A27,INDIRECT('LOCCS Import'!$M$3&amp;"$A$3"):INDIRECT('LOCCS Import'!$M$3&amp;"$O$54"),7,)</f>
        <v>4.26</v>
      </c>
      <c r="S27" s="60">
        <f ca="1">VLOOKUP(A27,INDIRECT('LOCCS Import'!$L$3&amp;"$A$3"):INDIRECT('LOCCS Import'!$L$3&amp;"$O$54"),7,)</f>
        <v>4.03</v>
      </c>
      <c r="T27" s="60">
        <f ca="1">VLOOKUP(A27,INDIRECT('LOCCS Import'!$K$3&amp;"$A$3"):INDIRECT('LOCCS Import'!$K$3&amp;"$O$54"),7,)</f>
        <v>3.88</v>
      </c>
      <c r="U27" s="60">
        <f ca="1">VLOOKUP(A27,INDIRECT('LOCCS Import'!$J$3&amp;"$A$3"):INDIRECT('LOCCS Import'!$J$3&amp;"$O$54"),7,)</f>
        <v>3.81</v>
      </c>
      <c r="V27" s="60">
        <f ca="1">VLOOKUP(A27,INDIRECT('LOCCS Import'!$I$3&amp;"$A$3"):INDIRECT('LOCCS Import'!$I$3&amp;"$O$54"),7,)</f>
        <v>3.74</v>
      </c>
      <c r="W27" s="60">
        <f ca="1">VLOOKUP(A27,INDIRECT('LOCCS Import'!$H$3&amp;"$A$3"):INDIRECT('LOCCS Import'!$H$3&amp;"$O$54"),7,)</f>
        <v>3.73</v>
      </c>
      <c r="X27" s="60">
        <f ca="1">VLOOKUP(A27,INDIRECT('LOCCS Import'!$G$3&amp;"$A$3"):INDIRECT('LOCCS Import'!$G$3&amp;"$O$54"),7,)</f>
        <v>3.62</v>
      </c>
      <c r="Y27" s="60">
        <f ca="1">VLOOKUP(A27,INDIRECT('LOCCS Import'!$F$3&amp;"$A$3"):INDIRECT('LOCCS Import'!$F$3&amp;"$O$54"),7,)</f>
        <v>3.51</v>
      </c>
      <c r="Z27" s="60">
        <f ca="1">VLOOKUP(A27,INDIRECT('LOCCS Import'!$E$3&amp;"$A$3"):INDIRECT('LOCCS Import'!$E$3&amp;"$O$54"),7,)</f>
        <v>3.38</v>
      </c>
      <c r="AA27" s="60">
        <f>VLOOKUP(A27,template!$A$3:$P$54,7,)</f>
        <v>4.2699999999999996</v>
      </c>
      <c r="AB27" s="58">
        <f t="shared" ca="1" si="0"/>
        <v>4.2699999999999996</v>
      </c>
      <c r="AC27" s="60">
        <f t="shared" ca="1" si="1"/>
        <v>3.31</v>
      </c>
      <c r="AD27" s="61">
        <f t="shared" ca="1" si="2"/>
        <v>3.7416666666666671</v>
      </c>
      <c r="AE27" s="84">
        <f t="shared" ca="1" si="3"/>
        <v>37</v>
      </c>
      <c r="AF27" s="138"/>
      <c r="AG27" s="3">
        <f ca="1">VLOOKUP(A27,INDIRECT('LOCCS Import'!$AA$3&amp;"$A$3"):INDIRECT('LOCCS Import'!$AA$3&amp;"$O$54"),8,)</f>
        <v>1.1399999999999999</v>
      </c>
      <c r="AH27" s="1">
        <f ca="1">VLOOKUP(A27,INDIRECT('LOCCS Import'!$Z$3&amp;"$A$3"):INDIRECT('LOCCS Import'!$Z$3&amp;"$O$54"),8,)</f>
        <v>1.24</v>
      </c>
      <c r="AI27" s="1">
        <f ca="1">VLOOKUP(A27,INDIRECT('LOCCS Import'!$Y$3&amp;"$A$3"):INDIRECT('LOCCS Import'!$Y$3&amp;"$O$54"),8,)</f>
        <v>1.17</v>
      </c>
      <c r="AJ27" s="1">
        <f ca="1">VLOOKUP(A27,INDIRECT('LOCCS Import'!$X$3&amp;"$A$3"):INDIRECT('LOCCS Import'!$X$3&amp;"$O$54"),8,)</f>
        <v>1.36</v>
      </c>
      <c r="AK27" s="1">
        <f ca="1">VLOOKUP(A27,INDIRECT('LOCCS Import'!$W$3&amp;"$A$3"):INDIRECT('LOCCS Import'!$W$3&amp;"$O$54"),8,)</f>
        <v>1.36</v>
      </c>
      <c r="AL27" s="1">
        <f ca="1">VLOOKUP(A27,INDIRECT('LOCCS Import'!$V$3&amp;"$A$3"):INDIRECT('LOCCS Import'!$V$3&amp;"$O$54"),8,)</f>
        <v>1.38</v>
      </c>
      <c r="AM27" s="1">
        <f ca="1">VLOOKUP(A27,INDIRECT('LOCCS Import'!$U$3&amp;"$A$3"):INDIRECT('LOCCS Import'!$U$3&amp;"$O$54"),8,)</f>
        <v>1.38</v>
      </c>
      <c r="AN27" s="1">
        <f ca="1">VLOOKUP(A27,INDIRECT('LOCCS Import'!$T$3&amp;"$A$3"):INDIRECT('LOCCS Import'!$T$3&amp;"$O$54"),8,)</f>
        <v>1.52</v>
      </c>
      <c r="AO27" s="1">
        <f ca="1">VLOOKUP(A27,INDIRECT('LOCCS Import'!$S$3&amp;"$A$3"):INDIRECT('LOCCS Import'!$S$3&amp;"$O$54"),8,)</f>
        <v>1.77</v>
      </c>
      <c r="AP27" s="1">
        <f ca="1">VLOOKUP(A27,INDIRECT('LOCCS Import'!$R$3&amp;"$A$3"):INDIRECT('LOCCS Import'!$R$3&amp;"$O$54"),8,)</f>
        <v>1.77</v>
      </c>
      <c r="AQ27" s="1">
        <f ca="1">VLOOKUP(A27,INDIRECT('LOCCS Import'!$Q$3&amp;"$A$3"):INDIRECT('LOCCS Import'!$Q$3&amp;"$O$54"),8,)</f>
        <v>1.53</v>
      </c>
      <c r="AR27" s="1">
        <f ca="1">VLOOKUP(A27,INDIRECT('LOCCS Import'!$P$3&amp;"$A$3"):INDIRECT('LOCCS Import'!$P$3&amp;"$O$54"),8,)</f>
        <v>1.54</v>
      </c>
      <c r="AS27" s="1">
        <f ca="1">VLOOKUP(A27,INDIRECT('LOCCS Import'!$O$3&amp;"$A$3"):INDIRECT('LOCCS Import'!$O$3&amp;"$O$54"),8,)</f>
        <v>1.4</v>
      </c>
      <c r="AT27" s="1">
        <f ca="1">VLOOKUP(A27,INDIRECT('LOCCS Import'!$N$3&amp;"$A$3"):INDIRECT('LOCCS Import'!$N$3&amp;"$O$54"),8,)</f>
        <v>1.28</v>
      </c>
      <c r="AU27" s="1">
        <f ca="1">VLOOKUP(A27,INDIRECT('LOCCS Import'!$M$3&amp;"$A$3"):INDIRECT('LOCCS Import'!$M$3&amp;"$O$54"),8,)</f>
        <v>1.1599999999999999</v>
      </c>
      <c r="AV27" s="1">
        <f ca="1">VLOOKUP(A27,INDIRECT('LOCCS Import'!$L$3&amp;"$A$3"):INDIRECT('LOCCS Import'!$L$3&amp;"$O$54"),8,)</f>
        <v>1.18</v>
      </c>
      <c r="AW27" s="1">
        <f ca="1">VLOOKUP(A27,INDIRECT('LOCCS Import'!$K$3&amp;"$A$3"):INDIRECT('LOCCS Import'!$K$3&amp;"$O$54"),8,)</f>
        <v>1.26</v>
      </c>
      <c r="AX27" s="1">
        <f ca="1">VLOOKUP(A27,INDIRECT('LOCCS Import'!$J$3&amp;"$A$3"):INDIRECT('LOCCS Import'!$J$3&amp;"$O$54"),8,)</f>
        <v>1.28</v>
      </c>
      <c r="AY27" s="1">
        <f ca="1">VLOOKUP(A27,INDIRECT('LOCCS Import'!$I$3&amp;"$A$3"):INDIRECT('LOCCS Import'!$I$3&amp;"$O$54"),8,)</f>
        <v>1.25</v>
      </c>
      <c r="AZ27" s="1">
        <f ca="1">VLOOKUP(A27,INDIRECT('LOCCS Import'!$H$3&amp;"$A$3"):INDIRECT('LOCCS Import'!$H$3&amp;"$O$54"),8,)</f>
        <v>1.19</v>
      </c>
      <c r="BA27" s="1">
        <f ca="1">VLOOKUP(A27,INDIRECT('LOCCS Import'!$G$3&amp;"$A$3"):INDIRECT('LOCCS Import'!$G$3&amp;"$O$54"),8,)</f>
        <v>1.02</v>
      </c>
      <c r="BB27" s="1">
        <f ca="1">VLOOKUP(A27,INDIRECT('LOCCS Import'!$F$3&amp;"$A$3"):INDIRECT('LOCCS Import'!$F$3&amp;"$O$54"),8,)</f>
        <v>1.1000000000000001</v>
      </c>
      <c r="BC27" s="1">
        <f ca="1">VLOOKUP(A27,INDIRECT('LOCCS Import'!$E$3&amp;"$A$3"):INDIRECT('LOCCS Import'!$E$3&amp;"$O$54"),8,)</f>
        <v>1.1399999999999999</v>
      </c>
      <c r="BD27" s="2">
        <f>VLOOKUP(A27,template!$A$3:$P$54,8,)</f>
        <v>1.19</v>
      </c>
      <c r="BE27" s="2">
        <f t="shared" ca="1" si="4"/>
        <v>1.2041666666666664</v>
      </c>
      <c r="BF27" s="115">
        <f t="shared" ca="1" si="5"/>
        <v>11</v>
      </c>
    </row>
    <row r="28" spans="1:58" x14ac:dyDescent="0.3">
      <c r="A28" s="67" t="s">
        <v>40</v>
      </c>
      <c r="B28" s="64" t="s">
        <v>73</v>
      </c>
      <c r="C28" s="64" t="s">
        <v>107</v>
      </c>
      <c r="D28" s="60">
        <f ca="1">VLOOKUP(A28,INDIRECT('LOCCS Import'!$AA$3&amp;"$A$3"):INDIRECT('LOCCS Import'!$AA$3&amp;"$O$54"),7,)</f>
        <v>3.86</v>
      </c>
      <c r="E28" s="60">
        <f ca="1">VLOOKUP(A28,INDIRECT('LOCCS Import'!$Z$3&amp;"$A$3"):INDIRECT('LOCCS Import'!$Z$3&amp;"$O$54"),7,)</f>
        <v>3.85</v>
      </c>
      <c r="F28" s="60">
        <f ca="1">VLOOKUP(A28,INDIRECT('LOCCS Import'!$Y$3&amp;"$A$3"):INDIRECT('LOCCS Import'!$Y$3&amp;"$O$54"),7,)</f>
        <v>3.82</v>
      </c>
      <c r="G28" s="60">
        <f ca="1">VLOOKUP(A28,INDIRECT('LOCCS Import'!$X$3&amp;"$A$3"):INDIRECT('LOCCS Import'!$X$3&amp;"$O$54"),7,)</f>
        <v>3.79</v>
      </c>
      <c r="H28" s="60">
        <f ca="1">VLOOKUP(A28,INDIRECT('LOCCS Import'!$W$3&amp;"$A$3"):INDIRECT('LOCCS Import'!$W$3&amp;"$O$54"),7,)</f>
        <v>3.76</v>
      </c>
      <c r="I28" s="60">
        <f ca="1">VLOOKUP(A28,INDIRECT('LOCCS Import'!$V$3&amp;"$A$3"):INDIRECT('LOCCS Import'!$V$3&amp;"$O$54"),7,)</f>
        <v>3.74</v>
      </c>
      <c r="J28" s="60">
        <f ca="1">VLOOKUP(A28,INDIRECT('LOCCS Import'!$U$3&amp;"$A$3"):INDIRECT('LOCCS Import'!$U$3&amp;"$O$54"),7,)</f>
        <v>3.74</v>
      </c>
      <c r="K28" s="60">
        <f ca="1">VLOOKUP(A28,INDIRECT('LOCCS Import'!$T$3&amp;"$A$3"):INDIRECT('LOCCS Import'!$T$3&amp;"$O$54"),7,)</f>
        <v>3.66</v>
      </c>
      <c r="L28" s="60">
        <f ca="1">VLOOKUP(A28,INDIRECT('LOCCS Import'!$S$3&amp;"$A$3"):INDIRECT('LOCCS Import'!$S$3&amp;"$O$54"),7,)</f>
        <v>3.63</v>
      </c>
      <c r="M28" s="60">
        <f ca="1">VLOOKUP(A28,INDIRECT('LOCCS Import'!$R$3&amp;"$A$3"):INDIRECT('LOCCS Import'!$R$3&amp;"$O$54"),7,)</f>
        <v>3.57</v>
      </c>
      <c r="N28" s="60">
        <f ca="1">VLOOKUP(A28,INDIRECT('LOCCS Import'!$Q$3&amp;"$A$3"):INDIRECT('LOCCS Import'!$Q$3&amp;"$O$54"),7,)</f>
        <v>3.51</v>
      </c>
      <c r="O28" s="60">
        <f ca="1">VLOOKUP(A28,INDIRECT('LOCCS Import'!$P$3&amp;"$A$3"):INDIRECT('LOCCS Import'!$P$3&amp;"$O$54"),7,)</f>
        <v>4.45</v>
      </c>
      <c r="P28" s="60">
        <f ca="1">VLOOKUP(A28,INDIRECT('LOCCS Import'!$O$3&amp;"$A$3"):INDIRECT('LOCCS Import'!$O$3&amp;"$O$54"),7,)</f>
        <v>4.43</v>
      </c>
      <c r="Q28" s="60">
        <f ca="1">VLOOKUP(A28,INDIRECT('LOCCS Import'!$N$3&amp;"$A$3"):INDIRECT('LOCCS Import'!$N$3&amp;"$O$54"),7,)</f>
        <v>4.38</v>
      </c>
      <c r="R28" s="60">
        <f ca="1">VLOOKUP(A28,INDIRECT('LOCCS Import'!$M$3&amp;"$A$3"):INDIRECT('LOCCS Import'!$M$3&amp;"$O$54"),7,)</f>
        <v>4.28</v>
      </c>
      <c r="S28" s="60">
        <f ca="1">VLOOKUP(A28,INDIRECT('LOCCS Import'!$L$3&amp;"$A$3"):INDIRECT('LOCCS Import'!$L$3&amp;"$O$54"),7,)</f>
        <v>4.24</v>
      </c>
      <c r="T28" s="60">
        <f ca="1">VLOOKUP(A28,INDIRECT('LOCCS Import'!$K$3&amp;"$A$3"):INDIRECT('LOCCS Import'!$K$3&amp;"$O$54"),7,)</f>
        <v>4.1399999999999997</v>
      </c>
      <c r="U28" s="60">
        <f ca="1">VLOOKUP(A28,INDIRECT('LOCCS Import'!$J$3&amp;"$A$3"):INDIRECT('LOCCS Import'!$J$3&amp;"$O$54"),7,)</f>
        <v>4.09</v>
      </c>
      <c r="V28" s="60">
        <f ca="1">VLOOKUP(A28,INDIRECT('LOCCS Import'!$I$3&amp;"$A$3"):INDIRECT('LOCCS Import'!$I$3&amp;"$O$54"),7,)</f>
        <v>4.05</v>
      </c>
      <c r="W28" s="60">
        <f ca="1">VLOOKUP(A28,INDIRECT('LOCCS Import'!$H$3&amp;"$A$3"):INDIRECT('LOCCS Import'!$H$3&amp;"$O$54"),7,)</f>
        <v>4</v>
      </c>
      <c r="X28" s="60">
        <f ca="1">VLOOKUP(A28,INDIRECT('LOCCS Import'!$G$3&amp;"$A$3"):INDIRECT('LOCCS Import'!$G$3&amp;"$O$54"),7,)</f>
        <v>3.87</v>
      </c>
      <c r="Y28" s="60">
        <f ca="1">VLOOKUP(A28,INDIRECT('LOCCS Import'!$F$3&amp;"$A$3"):INDIRECT('LOCCS Import'!$F$3&amp;"$O$54"),7,)</f>
        <v>3.83</v>
      </c>
      <c r="Z28" s="60">
        <f ca="1">VLOOKUP(A28,INDIRECT('LOCCS Import'!$E$3&amp;"$A$3"):INDIRECT('LOCCS Import'!$E$3&amp;"$O$54"),7,)</f>
        <v>3.78</v>
      </c>
      <c r="AA28" s="60">
        <f>VLOOKUP(A28,template!$A$3:$P$54,7,)</f>
        <v>4.6500000000000004</v>
      </c>
      <c r="AB28" s="58">
        <f t="shared" ca="1" si="0"/>
        <v>4.6500000000000004</v>
      </c>
      <c r="AC28" s="60">
        <f t="shared" ca="1" si="1"/>
        <v>3.78</v>
      </c>
      <c r="AD28" s="61">
        <f t="shared" ca="1" si="2"/>
        <v>4.1449999999999996</v>
      </c>
      <c r="AE28" s="84">
        <f t="shared" ca="1" si="3"/>
        <v>44</v>
      </c>
      <c r="AF28" s="138"/>
      <c r="AG28" s="3">
        <f ca="1">VLOOKUP(A28,INDIRECT('LOCCS Import'!$AA$3&amp;"$A$3"):INDIRECT('LOCCS Import'!$AA$3&amp;"$O$54"),8,)</f>
        <v>0.93</v>
      </c>
      <c r="AH28" s="1">
        <f ca="1">VLOOKUP(A28,INDIRECT('LOCCS Import'!$Z$3&amp;"$A$3"):INDIRECT('LOCCS Import'!$Z$3&amp;"$O$54"),8,)</f>
        <v>0.86</v>
      </c>
      <c r="AI28" s="1">
        <f ca="1">VLOOKUP(A28,INDIRECT('LOCCS Import'!$Y$3&amp;"$A$3"):INDIRECT('LOCCS Import'!$Y$3&amp;"$O$54"),8,)</f>
        <v>0.73</v>
      </c>
      <c r="AJ28" s="1">
        <f ca="1">VLOOKUP(A28,INDIRECT('LOCCS Import'!$X$3&amp;"$A$3"):INDIRECT('LOCCS Import'!$X$3&amp;"$O$54"),8,)</f>
        <v>0.66</v>
      </c>
      <c r="AK28" s="1">
        <f ca="1">VLOOKUP(A28,INDIRECT('LOCCS Import'!$W$3&amp;"$A$3"):INDIRECT('LOCCS Import'!$W$3&amp;"$O$54"),8,)</f>
        <v>0.61</v>
      </c>
      <c r="AL28" s="1">
        <f ca="1">VLOOKUP(A28,INDIRECT('LOCCS Import'!$V$3&amp;"$A$3"):INDIRECT('LOCCS Import'!$V$3&amp;"$O$54"),8,)</f>
        <v>0.56999999999999995</v>
      </c>
      <c r="AM28" s="1">
        <f ca="1">VLOOKUP(A28,INDIRECT('LOCCS Import'!$U$3&amp;"$A$3"):INDIRECT('LOCCS Import'!$U$3&amp;"$O$54"),8,)</f>
        <v>0.56999999999999995</v>
      </c>
      <c r="AN28" s="1">
        <f ca="1">VLOOKUP(A28,INDIRECT('LOCCS Import'!$T$3&amp;"$A$3"):INDIRECT('LOCCS Import'!$T$3&amp;"$O$54"),8,)</f>
        <v>0.55000000000000004</v>
      </c>
      <c r="AO28" s="1">
        <f ca="1">VLOOKUP(A28,INDIRECT('LOCCS Import'!$S$3&amp;"$A$3"):INDIRECT('LOCCS Import'!$S$3&amp;"$O$54"),8,)</f>
        <v>0.52</v>
      </c>
      <c r="AP28" s="1">
        <f ca="1">VLOOKUP(A28,INDIRECT('LOCCS Import'!$R$3&amp;"$A$3"):INDIRECT('LOCCS Import'!$R$3&amp;"$O$54"),8,)</f>
        <v>0.52</v>
      </c>
      <c r="AQ28" s="1">
        <f ca="1">VLOOKUP(A28,INDIRECT('LOCCS Import'!$Q$3&amp;"$A$3"):INDIRECT('LOCCS Import'!$Q$3&amp;"$O$54"),8,)</f>
        <v>0.51</v>
      </c>
      <c r="AR28" s="1">
        <f ca="1">VLOOKUP(A28,INDIRECT('LOCCS Import'!$P$3&amp;"$A$3"):INDIRECT('LOCCS Import'!$P$3&amp;"$O$54"),8,)</f>
        <v>0.48</v>
      </c>
      <c r="AS28" s="1">
        <f ca="1">VLOOKUP(A28,INDIRECT('LOCCS Import'!$O$3&amp;"$A$3"):INDIRECT('LOCCS Import'!$O$3&amp;"$O$54"),8,)</f>
        <v>0.42</v>
      </c>
      <c r="AT28" s="1">
        <f ca="1">VLOOKUP(A28,INDIRECT('LOCCS Import'!$N$3&amp;"$A$3"):INDIRECT('LOCCS Import'!$N$3&amp;"$O$54"),8,)</f>
        <v>0.45</v>
      </c>
      <c r="AU28" s="1">
        <f ca="1">VLOOKUP(A28,INDIRECT('LOCCS Import'!$M$3&amp;"$A$3"):INDIRECT('LOCCS Import'!$M$3&amp;"$O$54"),8,)</f>
        <v>0.51</v>
      </c>
      <c r="AV28" s="1">
        <f ca="1">VLOOKUP(A28,INDIRECT('LOCCS Import'!$L$3&amp;"$A$3"):INDIRECT('LOCCS Import'!$L$3&amp;"$O$54"),8,)</f>
        <v>0.53</v>
      </c>
      <c r="AW28" s="1">
        <f ca="1">VLOOKUP(A28,INDIRECT('LOCCS Import'!$K$3&amp;"$A$3"):INDIRECT('LOCCS Import'!$K$3&amp;"$O$54"),8,)</f>
        <v>0.6</v>
      </c>
      <c r="AX28" s="1">
        <f ca="1">VLOOKUP(A28,INDIRECT('LOCCS Import'!$J$3&amp;"$A$3"):INDIRECT('LOCCS Import'!$J$3&amp;"$O$54"),8,)</f>
        <v>0.63</v>
      </c>
      <c r="AY28" s="1">
        <f ca="1">VLOOKUP(A28,INDIRECT('LOCCS Import'!$I$3&amp;"$A$3"):INDIRECT('LOCCS Import'!$I$3&amp;"$O$54"),8,)</f>
        <v>0.64</v>
      </c>
      <c r="AZ28" s="1">
        <f ca="1">VLOOKUP(A28,INDIRECT('LOCCS Import'!$H$3&amp;"$A$3"):INDIRECT('LOCCS Import'!$H$3&amp;"$O$54"),8,)</f>
        <v>0.64</v>
      </c>
      <c r="BA28" s="1">
        <f ca="1">VLOOKUP(A28,INDIRECT('LOCCS Import'!$G$3&amp;"$A$3"):INDIRECT('LOCCS Import'!$G$3&amp;"$O$54"),8,)</f>
        <v>0.74</v>
      </c>
      <c r="BB28" s="1">
        <f ca="1">VLOOKUP(A28,INDIRECT('LOCCS Import'!$F$3&amp;"$A$3"):INDIRECT('LOCCS Import'!$F$3&amp;"$O$54"),8,)</f>
        <v>0.72</v>
      </c>
      <c r="BC28" s="1">
        <f ca="1">VLOOKUP(A28,INDIRECT('LOCCS Import'!$E$3&amp;"$A$3"):INDIRECT('LOCCS Import'!$E$3&amp;"$O$54"),8,)</f>
        <v>0.71</v>
      </c>
      <c r="BD28" s="2">
        <f>VLOOKUP(A28,template!$A$3:$P$54,8,)</f>
        <v>0.79</v>
      </c>
      <c r="BE28" s="2">
        <f t="shared" ca="1" si="4"/>
        <v>0.61499999999999999</v>
      </c>
      <c r="BF28" s="115">
        <f t="shared" ca="1" si="5"/>
        <v>50</v>
      </c>
    </row>
    <row r="29" spans="1:58" x14ac:dyDescent="0.3">
      <c r="A29" s="67" t="s">
        <v>41</v>
      </c>
      <c r="B29" s="64" t="s">
        <v>73</v>
      </c>
      <c r="C29" s="64" t="s">
        <v>77</v>
      </c>
      <c r="D29" s="60">
        <f ca="1">VLOOKUP(A29,INDIRECT('LOCCS Import'!$AA$3&amp;"$A$3"):INDIRECT('LOCCS Import'!$AA$3&amp;"$O$54"),7,)</f>
        <v>1.57</v>
      </c>
      <c r="E29" s="60">
        <f ca="1">VLOOKUP(A29,INDIRECT('LOCCS Import'!$Z$3&amp;"$A$3"):INDIRECT('LOCCS Import'!$Z$3&amp;"$O$54"),7,)</f>
        <v>2.56</v>
      </c>
      <c r="F29" s="60">
        <f ca="1">VLOOKUP(A29,INDIRECT('LOCCS Import'!$Y$3&amp;"$A$3"):INDIRECT('LOCCS Import'!$Y$3&amp;"$O$54"),7,)</f>
        <v>2.4500000000000002</v>
      </c>
      <c r="G29" s="60">
        <f ca="1">VLOOKUP(A29,INDIRECT('LOCCS Import'!$X$3&amp;"$A$3"):INDIRECT('LOCCS Import'!$X$3&amp;"$O$54"),7,)</f>
        <v>2.2000000000000002</v>
      </c>
      <c r="H29" s="60">
        <f ca="1">VLOOKUP(A29,INDIRECT('LOCCS Import'!$W$3&amp;"$A$3"):INDIRECT('LOCCS Import'!$W$3&amp;"$O$54"),7,)</f>
        <v>2.14</v>
      </c>
      <c r="I29" s="60">
        <f ca="1">VLOOKUP(A29,INDIRECT('LOCCS Import'!$V$3&amp;"$A$3"):INDIRECT('LOCCS Import'!$V$3&amp;"$O$54"),7,)</f>
        <v>2.1</v>
      </c>
      <c r="J29" s="60">
        <f ca="1">VLOOKUP(A29,INDIRECT('LOCCS Import'!$U$3&amp;"$A$3"):INDIRECT('LOCCS Import'!$U$3&amp;"$O$54"),7,)</f>
        <v>2.1</v>
      </c>
      <c r="K29" s="60">
        <f ca="1">VLOOKUP(A29,INDIRECT('LOCCS Import'!$T$3&amp;"$A$3"):INDIRECT('LOCCS Import'!$T$3&amp;"$O$54"),7,)</f>
        <v>2.09</v>
      </c>
      <c r="L29" s="60">
        <f ca="1">VLOOKUP(A29,INDIRECT('LOCCS Import'!$S$3&amp;"$A$3"):INDIRECT('LOCCS Import'!$S$3&amp;"$O$54"),7,)</f>
        <v>2.0099999999999998</v>
      </c>
      <c r="M29" s="60">
        <f ca="1">VLOOKUP(A29,INDIRECT('LOCCS Import'!$R$3&amp;"$A$3"):INDIRECT('LOCCS Import'!$R$3&amp;"$O$54"),7,)</f>
        <v>1.92</v>
      </c>
      <c r="N29" s="60">
        <f ca="1">VLOOKUP(A29,INDIRECT('LOCCS Import'!$Q$3&amp;"$A$3"):INDIRECT('LOCCS Import'!$Q$3&amp;"$O$54"),7,)</f>
        <v>1.91</v>
      </c>
      <c r="O29" s="60">
        <f ca="1">VLOOKUP(A29,INDIRECT('LOCCS Import'!$P$3&amp;"$A$3"):INDIRECT('LOCCS Import'!$P$3&amp;"$O$54"),7,)</f>
        <v>2.9</v>
      </c>
      <c r="P29" s="60">
        <f ca="1">VLOOKUP(A29,INDIRECT('LOCCS Import'!$O$3&amp;"$A$3"):INDIRECT('LOCCS Import'!$O$3&amp;"$O$54"),7,)</f>
        <v>2.8</v>
      </c>
      <c r="Q29" s="60">
        <f ca="1">VLOOKUP(A29,INDIRECT('LOCCS Import'!$N$3&amp;"$A$3"):INDIRECT('LOCCS Import'!$N$3&amp;"$O$54"),7,)</f>
        <v>2.5299999999999998</v>
      </c>
      <c r="R29" s="60">
        <f ca="1">VLOOKUP(A29,INDIRECT('LOCCS Import'!$M$3&amp;"$A$3"):INDIRECT('LOCCS Import'!$M$3&amp;"$O$54"),7,)</f>
        <v>2.2200000000000002</v>
      </c>
      <c r="S29" s="60">
        <f ca="1">VLOOKUP(A29,INDIRECT('LOCCS Import'!$L$3&amp;"$A$3"):INDIRECT('LOCCS Import'!$L$3&amp;"$O$54"),7,)</f>
        <v>2.21</v>
      </c>
      <c r="T29" s="60">
        <f ca="1">VLOOKUP(A29,INDIRECT('LOCCS Import'!$K$3&amp;"$A$3"):INDIRECT('LOCCS Import'!$K$3&amp;"$O$54"),7,)</f>
        <v>2.09</v>
      </c>
      <c r="U29" s="60">
        <f ca="1">VLOOKUP(A29,INDIRECT('LOCCS Import'!$J$3&amp;"$A$3"):INDIRECT('LOCCS Import'!$J$3&amp;"$O$54"),7,)</f>
        <v>1.89</v>
      </c>
      <c r="V29" s="60">
        <f ca="1">VLOOKUP(A29,INDIRECT('LOCCS Import'!$I$3&amp;"$A$3"):INDIRECT('LOCCS Import'!$I$3&amp;"$O$54"),7,)</f>
        <v>1.89</v>
      </c>
      <c r="W29" s="60">
        <f ca="1">VLOOKUP(A29,INDIRECT('LOCCS Import'!$H$3&amp;"$A$3"):INDIRECT('LOCCS Import'!$H$3&amp;"$O$54"),7,)</f>
        <v>1.88</v>
      </c>
      <c r="X29" s="60">
        <f ca="1">VLOOKUP(A29,INDIRECT('LOCCS Import'!$G$3&amp;"$A$3"):INDIRECT('LOCCS Import'!$G$3&amp;"$O$54"),7,)</f>
        <v>1.38</v>
      </c>
      <c r="Y29" s="60">
        <f ca="1">VLOOKUP(A29,INDIRECT('LOCCS Import'!$F$3&amp;"$A$3"):INDIRECT('LOCCS Import'!$F$3&amp;"$O$54"),7,)</f>
        <v>1.27</v>
      </c>
      <c r="Z29" s="60">
        <f ca="1">VLOOKUP(A29,INDIRECT('LOCCS Import'!$E$3&amp;"$A$3"):INDIRECT('LOCCS Import'!$E$3&amp;"$O$54"),7,)</f>
        <v>1.26</v>
      </c>
      <c r="AA29" s="60">
        <f>VLOOKUP(A29,template!$A$3:$P$54,7,)</f>
        <v>2.19</v>
      </c>
      <c r="AB29" s="58">
        <f t="shared" ca="1" si="0"/>
        <v>2.8</v>
      </c>
      <c r="AC29" s="60">
        <f t="shared" ca="1" si="1"/>
        <v>1.26</v>
      </c>
      <c r="AD29" s="61">
        <f t="shared" ca="1" si="2"/>
        <v>1.9675000000000002</v>
      </c>
      <c r="AE29" s="84">
        <f t="shared" ca="1" si="3"/>
        <v>5</v>
      </c>
      <c r="AF29" s="138"/>
      <c r="AG29" s="3">
        <f ca="1">VLOOKUP(A29,INDIRECT('LOCCS Import'!$AA$3&amp;"$A$3"):INDIRECT('LOCCS Import'!$AA$3&amp;"$O$54"),8,)</f>
        <v>1.54</v>
      </c>
      <c r="AH29" s="1">
        <f ca="1">VLOOKUP(A29,INDIRECT('LOCCS Import'!$Z$3&amp;"$A$3"):INDIRECT('LOCCS Import'!$Z$3&amp;"$O$54"),8,)</f>
        <v>1.73</v>
      </c>
      <c r="AI29" s="1">
        <f ca="1">VLOOKUP(A29,INDIRECT('LOCCS Import'!$Y$3&amp;"$A$3"):INDIRECT('LOCCS Import'!$Y$3&amp;"$O$54"),8,)</f>
        <v>1.53</v>
      </c>
      <c r="AJ29" s="1">
        <f ca="1">VLOOKUP(A29,INDIRECT('LOCCS Import'!$X$3&amp;"$A$3"):INDIRECT('LOCCS Import'!$X$3&amp;"$O$54"),8,)</f>
        <v>1.72</v>
      </c>
      <c r="AK29" s="1">
        <f ca="1">VLOOKUP(A29,INDIRECT('LOCCS Import'!$W$3&amp;"$A$3"):INDIRECT('LOCCS Import'!$W$3&amp;"$O$54"),8,)</f>
        <v>1.67</v>
      </c>
      <c r="AL29" s="1">
        <f ca="1">VLOOKUP(A29,INDIRECT('LOCCS Import'!$V$3&amp;"$A$3"):INDIRECT('LOCCS Import'!$V$3&amp;"$O$54"),8,)</f>
        <v>1.69</v>
      </c>
      <c r="AM29" s="1">
        <f ca="1">VLOOKUP(A29,INDIRECT('LOCCS Import'!$U$3&amp;"$A$3"):INDIRECT('LOCCS Import'!$U$3&amp;"$O$54"),8,)</f>
        <v>1.69</v>
      </c>
      <c r="AN29" s="1">
        <f ca="1">VLOOKUP(A29,INDIRECT('LOCCS Import'!$T$3&amp;"$A$3"):INDIRECT('LOCCS Import'!$T$3&amp;"$O$54"),8,)</f>
        <v>1.25</v>
      </c>
      <c r="AO29" s="1">
        <f ca="1">VLOOKUP(A29,INDIRECT('LOCCS Import'!$S$3&amp;"$A$3"):INDIRECT('LOCCS Import'!$S$3&amp;"$O$54"),8,)</f>
        <v>1.1000000000000001</v>
      </c>
      <c r="AP29" s="1">
        <f ca="1">VLOOKUP(A29,INDIRECT('LOCCS Import'!$R$3&amp;"$A$3"):INDIRECT('LOCCS Import'!$R$3&amp;"$O$54"),8,)</f>
        <v>1.19</v>
      </c>
      <c r="AQ29" s="1">
        <f ca="1">VLOOKUP(A29,INDIRECT('LOCCS Import'!$Q$3&amp;"$A$3"):INDIRECT('LOCCS Import'!$Q$3&amp;"$O$54"),8,)</f>
        <v>1.1599999999999999</v>
      </c>
      <c r="AR29" s="1">
        <f ca="1">VLOOKUP(A29,INDIRECT('LOCCS Import'!$P$3&amp;"$A$3"):INDIRECT('LOCCS Import'!$P$3&amp;"$O$54"),8,)</f>
        <v>1.1499999999999999</v>
      </c>
      <c r="AS29" s="1">
        <f ca="1">VLOOKUP(A29,INDIRECT('LOCCS Import'!$O$3&amp;"$A$3"):INDIRECT('LOCCS Import'!$O$3&amp;"$O$54"),8,)</f>
        <v>0.76</v>
      </c>
      <c r="AT29" s="1">
        <f ca="1">VLOOKUP(A29,INDIRECT('LOCCS Import'!$N$3&amp;"$A$3"):INDIRECT('LOCCS Import'!$N$3&amp;"$O$54"),8,)</f>
        <v>1.03</v>
      </c>
      <c r="AU29" s="1">
        <f ca="1">VLOOKUP(A29,INDIRECT('LOCCS Import'!$M$3&amp;"$A$3"):INDIRECT('LOCCS Import'!$M$3&amp;"$O$54"),8,)</f>
        <v>1.22</v>
      </c>
      <c r="AV29" s="1">
        <f ca="1">VLOOKUP(A29,INDIRECT('LOCCS Import'!$L$3&amp;"$A$3"):INDIRECT('LOCCS Import'!$L$3&amp;"$O$54"),8,)</f>
        <v>0.98</v>
      </c>
      <c r="AW29" s="1">
        <f ca="1">VLOOKUP(A29,INDIRECT('LOCCS Import'!$K$3&amp;"$A$3"):INDIRECT('LOCCS Import'!$K$3&amp;"$O$54"),8,)</f>
        <v>1.03</v>
      </c>
      <c r="AX29" s="1">
        <f ca="1">VLOOKUP(A29,INDIRECT('LOCCS Import'!$J$3&amp;"$A$3"):INDIRECT('LOCCS Import'!$J$3&amp;"$O$54"),8,)</f>
        <v>1.2</v>
      </c>
      <c r="AY29" s="1">
        <f ca="1">VLOOKUP(A29,INDIRECT('LOCCS Import'!$I$3&amp;"$A$3"):INDIRECT('LOCCS Import'!$I$3&amp;"$O$54"),8,)</f>
        <v>1.2</v>
      </c>
      <c r="AZ29" s="1">
        <f ca="1">VLOOKUP(A29,INDIRECT('LOCCS Import'!$H$3&amp;"$A$3"):INDIRECT('LOCCS Import'!$H$3&amp;"$O$54"),8,)</f>
        <v>1.2</v>
      </c>
      <c r="BA29" s="1">
        <f ca="1">VLOOKUP(A29,INDIRECT('LOCCS Import'!$G$3&amp;"$A$3"):INDIRECT('LOCCS Import'!$G$3&amp;"$O$54"),8,)</f>
        <v>1.62</v>
      </c>
      <c r="BB29" s="1">
        <f ca="1">VLOOKUP(A29,INDIRECT('LOCCS Import'!$F$3&amp;"$A$3"):INDIRECT('LOCCS Import'!$F$3&amp;"$O$54"),8,)</f>
        <v>1.64</v>
      </c>
      <c r="BC29" s="1">
        <f ca="1">VLOOKUP(A29,INDIRECT('LOCCS Import'!$E$3&amp;"$A$3"):INDIRECT('LOCCS Import'!$E$3&amp;"$O$54"),8,)</f>
        <v>1.64</v>
      </c>
      <c r="BD29" s="2">
        <f>VLOOKUP(A29,template!$A$3:$P$54,8,)</f>
        <v>1.7</v>
      </c>
      <c r="BE29" s="2">
        <f t="shared" ca="1" si="4"/>
        <v>1.2683333333333333</v>
      </c>
      <c r="BF29" s="115">
        <f t="shared" ca="1" si="5"/>
        <v>9</v>
      </c>
    </row>
    <row r="30" spans="1:58" x14ac:dyDescent="0.3">
      <c r="A30" s="67" t="s">
        <v>42</v>
      </c>
      <c r="B30" s="64" t="s">
        <v>70</v>
      </c>
      <c r="C30" s="64" t="s">
        <v>108</v>
      </c>
      <c r="D30" s="60">
        <f ca="1">VLOOKUP(A30,INDIRECT('LOCCS Import'!$AA$3&amp;"$A$3"):INDIRECT('LOCCS Import'!$AA$3&amp;"$O$54"),7,)</f>
        <v>2.84</v>
      </c>
      <c r="E30" s="60">
        <f ca="1">VLOOKUP(A30,INDIRECT('LOCCS Import'!$Z$3&amp;"$A$3"):INDIRECT('LOCCS Import'!$Z$3&amp;"$O$54"),7,)</f>
        <v>2.79</v>
      </c>
      <c r="F30" s="60">
        <f ca="1">VLOOKUP(A30,INDIRECT('LOCCS Import'!$Y$3&amp;"$A$3"):INDIRECT('LOCCS Import'!$Y$3&amp;"$O$54"),7,)</f>
        <v>2.72</v>
      </c>
      <c r="G30" s="60">
        <f ca="1">VLOOKUP(A30,INDIRECT('LOCCS Import'!$X$3&amp;"$A$3"):INDIRECT('LOCCS Import'!$X$3&amp;"$O$54"),7,)</f>
        <v>2.68</v>
      </c>
      <c r="H30" s="60">
        <f ca="1">VLOOKUP(A30,INDIRECT('LOCCS Import'!$W$3&amp;"$A$3"):INDIRECT('LOCCS Import'!$W$3&amp;"$O$54"),7,)</f>
        <v>2.6</v>
      </c>
      <c r="I30" s="60">
        <f ca="1">VLOOKUP(A30,INDIRECT('LOCCS Import'!$V$3&amp;"$A$3"):INDIRECT('LOCCS Import'!$V$3&amp;"$O$54"),7,)</f>
        <v>2.58</v>
      </c>
      <c r="J30" s="60">
        <f ca="1">VLOOKUP(A30,INDIRECT('LOCCS Import'!$U$3&amp;"$A$3"):INDIRECT('LOCCS Import'!$U$3&amp;"$O$54"),7,)</f>
        <v>2.58</v>
      </c>
      <c r="K30" s="60">
        <f ca="1">VLOOKUP(A30,INDIRECT('LOCCS Import'!$T$3&amp;"$A$3"):INDIRECT('LOCCS Import'!$T$3&amp;"$O$54"),7,)</f>
        <v>2.48</v>
      </c>
      <c r="L30" s="60">
        <f ca="1">VLOOKUP(A30,INDIRECT('LOCCS Import'!$S$3&amp;"$A$3"):INDIRECT('LOCCS Import'!$S$3&amp;"$O$54"),7,)</f>
        <v>2.4500000000000002</v>
      </c>
      <c r="M30" s="60">
        <f ca="1">VLOOKUP(A30,INDIRECT('LOCCS Import'!$R$3&amp;"$A$3"):INDIRECT('LOCCS Import'!$R$3&amp;"$O$54"),7,)</f>
        <v>2.37</v>
      </c>
      <c r="N30" s="60">
        <f ca="1">VLOOKUP(A30,INDIRECT('LOCCS Import'!$Q$3&amp;"$A$3"):INDIRECT('LOCCS Import'!$Q$3&amp;"$O$54"),7,)</f>
        <v>2.31</v>
      </c>
      <c r="O30" s="60">
        <f ca="1">VLOOKUP(A30,INDIRECT('LOCCS Import'!$P$3&amp;"$A$3"):INDIRECT('LOCCS Import'!$P$3&amp;"$O$54"),7,)</f>
        <v>3.22</v>
      </c>
      <c r="P30" s="60">
        <f ca="1">VLOOKUP(A30,INDIRECT('LOCCS Import'!$O$3&amp;"$A$3"):INDIRECT('LOCCS Import'!$O$3&amp;"$O$54"),7,)</f>
        <v>3.13</v>
      </c>
      <c r="Q30" s="60">
        <f ca="1">VLOOKUP(A30,INDIRECT('LOCCS Import'!$N$3&amp;"$A$3"):INDIRECT('LOCCS Import'!$N$3&amp;"$O$54"),7,)</f>
        <v>3.04</v>
      </c>
      <c r="R30" s="60">
        <f ca="1">VLOOKUP(A30,INDIRECT('LOCCS Import'!$M$3&amp;"$A$3"):INDIRECT('LOCCS Import'!$M$3&amp;"$O$54"),7,)</f>
        <v>2.92</v>
      </c>
      <c r="S30" s="60">
        <f ca="1">VLOOKUP(A30,INDIRECT('LOCCS Import'!$L$3&amp;"$A$3"):INDIRECT('LOCCS Import'!$L$3&amp;"$O$54"),7,)</f>
        <v>2.9</v>
      </c>
      <c r="T30" s="60">
        <f ca="1">VLOOKUP(A30,INDIRECT('LOCCS Import'!$K$3&amp;"$A$3"):INDIRECT('LOCCS Import'!$K$3&amp;"$O$54"),7,)</f>
        <v>2.77</v>
      </c>
      <c r="U30" s="60">
        <f ca="1">VLOOKUP(A30,INDIRECT('LOCCS Import'!$J$3&amp;"$A$3"):INDIRECT('LOCCS Import'!$J$3&amp;"$O$54"),7,)</f>
        <v>2.69</v>
      </c>
      <c r="V30" s="60">
        <f ca="1">VLOOKUP(A30,INDIRECT('LOCCS Import'!$I$3&amp;"$A$3"):INDIRECT('LOCCS Import'!$I$3&amp;"$O$54"),7,)</f>
        <v>2.62</v>
      </c>
      <c r="W30" s="60">
        <f ca="1">VLOOKUP(A30,INDIRECT('LOCCS Import'!$H$3&amp;"$A$3"):INDIRECT('LOCCS Import'!$H$3&amp;"$O$54"),7,)</f>
        <v>2.4700000000000002</v>
      </c>
      <c r="X30" s="60">
        <f ca="1">VLOOKUP(A30,INDIRECT('LOCCS Import'!$G$3&amp;"$A$3"):INDIRECT('LOCCS Import'!$G$3&amp;"$O$54"),7,)</f>
        <v>2.35</v>
      </c>
      <c r="Y30" s="60">
        <f ca="1">VLOOKUP(A30,INDIRECT('LOCCS Import'!$F$3&amp;"$A$3"):INDIRECT('LOCCS Import'!$F$3&amp;"$O$54"),7,)</f>
        <v>2.2799999999999998</v>
      </c>
      <c r="Z30" s="60">
        <f ca="1">VLOOKUP(A30,INDIRECT('LOCCS Import'!$E$3&amp;"$A$3"):INDIRECT('LOCCS Import'!$E$3&amp;"$O$54"),7,)</f>
        <v>2.2200000000000002</v>
      </c>
      <c r="AA30" s="60">
        <f>VLOOKUP(A30,template!$A$3:$P$54,7,)</f>
        <v>2.13</v>
      </c>
      <c r="AB30" s="58">
        <f t="shared" ca="1" si="0"/>
        <v>3.13</v>
      </c>
      <c r="AC30" s="60">
        <f t="shared" ca="1" si="1"/>
        <v>2.13</v>
      </c>
      <c r="AD30" s="61">
        <f t="shared" ca="1" si="2"/>
        <v>2.6266666666666665</v>
      </c>
      <c r="AE30" s="84">
        <f t="shared" ca="1" si="3"/>
        <v>16</v>
      </c>
      <c r="AF30" s="138"/>
      <c r="AG30" s="3">
        <f ca="1">VLOOKUP(A30,INDIRECT('LOCCS Import'!$AA$3&amp;"$A$3"):INDIRECT('LOCCS Import'!$AA$3&amp;"$O$54"),8,)</f>
        <v>0.6</v>
      </c>
      <c r="AH30" s="1">
        <f ca="1">VLOOKUP(A30,INDIRECT('LOCCS Import'!$Z$3&amp;"$A$3"):INDIRECT('LOCCS Import'!$Z$3&amp;"$O$54"),8,)</f>
        <v>0.55000000000000004</v>
      </c>
      <c r="AI30" s="1">
        <f ca="1">VLOOKUP(A30,INDIRECT('LOCCS Import'!$Y$3&amp;"$A$3"):INDIRECT('LOCCS Import'!$Y$3&amp;"$O$54"),8,)</f>
        <v>0.56000000000000005</v>
      </c>
      <c r="AJ30" s="1">
        <f ca="1">VLOOKUP(A30,INDIRECT('LOCCS Import'!$X$3&amp;"$A$3"):INDIRECT('LOCCS Import'!$X$3&amp;"$O$54"),8,)</f>
        <v>0.55000000000000004</v>
      </c>
      <c r="AK30" s="1">
        <f ca="1">VLOOKUP(A30,INDIRECT('LOCCS Import'!$W$3&amp;"$A$3"):INDIRECT('LOCCS Import'!$W$3&amp;"$O$54"),8,)</f>
        <v>0.56000000000000005</v>
      </c>
      <c r="AL30" s="1">
        <f ca="1">VLOOKUP(A30,INDIRECT('LOCCS Import'!$V$3&amp;"$A$3"):INDIRECT('LOCCS Import'!$V$3&amp;"$O$54"),8,)</f>
        <v>0.56000000000000005</v>
      </c>
      <c r="AM30" s="1">
        <f ca="1">VLOOKUP(A30,INDIRECT('LOCCS Import'!$U$3&amp;"$A$3"):INDIRECT('LOCCS Import'!$U$3&amp;"$O$54"),8,)</f>
        <v>0.56000000000000005</v>
      </c>
      <c r="AN30" s="1">
        <f ca="1">VLOOKUP(A30,INDIRECT('LOCCS Import'!$T$3&amp;"$A$3"):INDIRECT('LOCCS Import'!$T$3&amp;"$O$54"),8,)</f>
        <v>0.56000000000000005</v>
      </c>
      <c r="AO30" s="1">
        <f ca="1">VLOOKUP(A30,INDIRECT('LOCCS Import'!$S$3&amp;"$A$3"):INDIRECT('LOCCS Import'!$S$3&amp;"$O$54"),8,)</f>
        <v>0.56000000000000005</v>
      </c>
      <c r="AP30" s="1">
        <f ca="1">VLOOKUP(A30,INDIRECT('LOCCS Import'!$R$3&amp;"$A$3"):INDIRECT('LOCCS Import'!$R$3&amp;"$O$54"),8,)</f>
        <v>0.64</v>
      </c>
      <c r="AQ30" s="1">
        <f ca="1">VLOOKUP(A30,INDIRECT('LOCCS Import'!$Q$3&amp;"$A$3"):INDIRECT('LOCCS Import'!$Q$3&amp;"$O$54"),8,)</f>
        <v>0.63</v>
      </c>
      <c r="AR30" s="1">
        <f ca="1">VLOOKUP(A30,INDIRECT('LOCCS Import'!$P$3&amp;"$A$3"):INDIRECT('LOCCS Import'!$P$3&amp;"$O$54"),8,)</f>
        <v>0.57999999999999996</v>
      </c>
      <c r="AS30" s="1">
        <f ca="1">VLOOKUP(A30,INDIRECT('LOCCS Import'!$O$3&amp;"$A$3"):INDIRECT('LOCCS Import'!$O$3&amp;"$O$54"),8,)</f>
        <v>0.68</v>
      </c>
      <c r="AT30" s="1">
        <f ca="1">VLOOKUP(A30,INDIRECT('LOCCS Import'!$N$3&amp;"$A$3"):INDIRECT('LOCCS Import'!$N$3&amp;"$O$54"),8,)</f>
        <v>0.72</v>
      </c>
      <c r="AU30" s="1">
        <f ca="1">VLOOKUP(A30,INDIRECT('LOCCS Import'!$M$3&amp;"$A$3"):INDIRECT('LOCCS Import'!$M$3&amp;"$O$54"),8,)</f>
        <v>0.78</v>
      </c>
      <c r="AV30" s="1">
        <f ca="1">VLOOKUP(A30,INDIRECT('LOCCS Import'!$L$3&amp;"$A$3"):INDIRECT('LOCCS Import'!$L$3&amp;"$O$54"),8,)</f>
        <v>0.76</v>
      </c>
      <c r="AW30" s="1">
        <f ca="1">VLOOKUP(A30,INDIRECT('LOCCS Import'!$K$3&amp;"$A$3"):INDIRECT('LOCCS Import'!$K$3&amp;"$O$54"),8,)</f>
        <v>0.81</v>
      </c>
      <c r="AX30" s="1">
        <f ca="1">VLOOKUP(A30,INDIRECT('LOCCS Import'!$J$3&amp;"$A$3"):INDIRECT('LOCCS Import'!$J$3&amp;"$O$54"),8,)</f>
        <v>0.87</v>
      </c>
      <c r="AY30" s="1">
        <f ca="1">VLOOKUP(A30,INDIRECT('LOCCS Import'!$I$3&amp;"$A$3"):INDIRECT('LOCCS Import'!$I$3&amp;"$O$54"),8,)</f>
        <v>0.9</v>
      </c>
      <c r="AZ30" s="1">
        <f ca="1">VLOOKUP(A30,INDIRECT('LOCCS Import'!$H$3&amp;"$A$3"):INDIRECT('LOCCS Import'!$H$3&amp;"$O$54"),8,)</f>
        <v>0.98</v>
      </c>
      <c r="BA30" s="1">
        <f ca="1">VLOOKUP(A30,INDIRECT('LOCCS Import'!$G$3&amp;"$A$3"):INDIRECT('LOCCS Import'!$G$3&amp;"$O$54"),8,)</f>
        <v>1.07</v>
      </c>
      <c r="BB30" s="1">
        <f ca="1">VLOOKUP(A30,INDIRECT('LOCCS Import'!$F$3&amp;"$A$3"):INDIRECT('LOCCS Import'!$F$3&amp;"$O$54"),8,)</f>
        <v>1.07</v>
      </c>
      <c r="BC30" s="1">
        <f ca="1">VLOOKUP(A30,INDIRECT('LOCCS Import'!$E$3&amp;"$A$3"):INDIRECT('LOCCS Import'!$E$3&amp;"$O$54"),8,)</f>
        <v>1.07</v>
      </c>
      <c r="BD30" s="2">
        <f>VLOOKUP(A30,template!$A$3:$P$54,8,)</f>
        <v>1.0900000000000001</v>
      </c>
      <c r="BE30" s="2">
        <f t="shared" ca="1" si="4"/>
        <v>0.9</v>
      </c>
      <c r="BF30" s="115">
        <f t="shared" ca="1" si="5"/>
        <v>25</v>
      </c>
    </row>
    <row r="31" spans="1:58" x14ac:dyDescent="0.3">
      <c r="A31" s="67" t="s">
        <v>43</v>
      </c>
      <c r="B31" s="64" t="s">
        <v>73</v>
      </c>
      <c r="C31" s="64" t="s">
        <v>109</v>
      </c>
      <c r="D31" s="60">
        <f ca="1">VLOOKUP(A31,INDIRECT('LOCCS Import'!$AA$3&amp;"$A$3"):INDIRECT('LOCCS Import'!$AA$3&amp;"$O$54"),7,)</f>
        <v>3.14</v>
      </c>
      <c r="E31" s="60">
        <f ca="1">VLOOKUP(A31,INDIRECT('LOCCS Import'!$Z$3&amp;"$A$3"):INDIRECT('LOCCS Import'!$Z$3&amp;"$O$54"),7,)</f>
        <v>4.1100000000000003</v>
      </c>
      <c r="F31" s="60">
        <f ca="1">VLOOKUP(A31,INDIRECT('LOCCS Import'!$Y$3&amp;"$A$3"):INDIRECT('LOCCS Import'!$Y$3&amp;"$O$54"),7,)</f>
        <v>4.1100000000000003</v>
      </c>
      <c r="G31" s="60">
        <f ca="1">VLOOKUP(A31,INDIRECT('LOCCS Import'!$X$3&amp;"$A$3"):INDIRECT('LOCCS Import'!$X$3&amp;"$O$54"),7,)</f>
        <v>3.7</v>
      </c>
      <c r="H31" s="60">
        <f ca="1">VLOOKUP(A31,INDIRECT('LOCCS Import'!$W$3&amp;"$A$3"):INDIRECT('LOCCS Import'!$W$3&amp;"$O$54"),7,)</f>
        <v>3.63</v>
      </c>
      <c r="I31" s="60">
        <f ca="1">VLOOKUP(A31,INDIRECT('LOCCS Import'!$V$3&amp;"$A$3"):INDIRECT('LOCCS Import'!$V$3&amp;"$O$54"),7,)</f>
        <v>3.39</v>
      </c>
      <c r="J31" s="60">
        <f ca="1">VLOOKUP(A31,INDIRECT('LOCCS Import'!$U$3&amp;"$A$3"):INDIRECT('LOCCS Import'!$U$3&amp;"$O$54"),7,)</f>
        <v>3.39</v>
      </c>
      <c r="K31" s="60">
        <f ca="1">VLOOKUP(A31,INDIRECT('LOCCS Import'!$T$3&amp;"$A$3"):INDIRECT('LOCCS Import'!$T$3&amp;"$O$54"),7,)</f>
        <v>3.36</v>
      </c>
      <c r="L31" s="60">
        <f ca="1">VLOOKUP(A31,INDIRECT('LOCCS Import'!$S$3&amp;"$A$3"):INDIRECT('LOCCS Import'!$S$3&amp;"$O$54"),7,)</f>
        <v>3.34</v>
      </c>
      <c r="M31" s="60">
        <f ca="1">VLOOKUP(A31,INDIRECT('LOCCS Import'!$R$3&amp;"$A$3"):INDIRECT('LOCCS Import'!$R$3&amp;"$O$54"),7,)</f>
        <v>3.31</v>
      </c>
      <c r="N31" s="60">
        <f ca="1">VLOOKUP(A31,INDIRECT('LOCCS Import'!$Q$3&amp;"$A$3"):INDIRECT('LOCCS Import'!$Q$3&amp;"$O$54"),7,)</f>
        <v>3.16</v>
      </c>
      <c r="O31" s="60">
        <f ca="1">VLOOKUP(A31,INDIRECT('LOCCS Import'!$P$3&amp;"$A$3"):INDIRECT('LOCCS Import'!$P$3&amp;"$O$54"),7,)</f>
        <v>3.03</v>
      </c>
      <c r="P31" s="60">
        <f ca="1">VLOOKUP(A31,INDIRECT('LOCCS Import'!$O$3&amp;"$A$3"):INDIRECT('LOCCS Import'!$O$3&amp;"$O$54"),7,)</f>
        <v>3.02</v>
      </c>
      <c r="Q31" s="60">
        <f ca="1">VLOOKUP(A31,INDIRECT('LOCCS Import'!$N$3&amp;"$A$3"):INDIRECT('LOCCS Import'!$N$3&amp;"$O$54"),7,)</f>
        <v>3.02</v>
      </c>
      <c r="R31" s="60">
        <f ca="1">VLOOKUP(A31,INDIRECT('LOCCS Import'!$M$3&amp;"$A$3"):INDIRECT('LOCCS Import'!$M$3&amp;"$O$54"),7,)</f>
        <v>3.95</v>
      </c>
      <c r="S31" s="60">
        <f ca="1">VLOOKUP(A31,INDIRECT('LOCCS Import'!$L$3&amp;"$A$3"):INDIRECT('LOCCS Import'!$L$3&amp;"$O$54"),7,)</f>
        <v>3.81</v>
      </c>
      <c r="T31" s="60">
        <f ca="1">VLOOKUP(A31,INDIRECT('LOCCS Import'!$K$3&amp;"$A$3"):INDIRECT('LOCCS Import'!$K$3&amp;"$O$54"),7,)</f>
        <v>3.72</v>
      </c>
      <c r="U31" s="60">
        <f ca="1">VLOOKUP(A31,INDIRECT('LOCCS Import'!$J$3&amp;"$A$3"):INDIRECT('LOCCS Import'!$J$3&amp;"$O$54"),7,)</f>
        <v>3.65</v>
      </c>
      <c r="V31" s="60">
        <f ca="1">VLOOKUP(A31,INDIRECT('LOCCS Import'!$I$3&amp;"$A$3"):INDIRECT('LOCCS Import'!$I$3&amp;"$O$54"),7,)</f>
        <v>3.64</v>
      </c>
      <c r="W31" s="60">
        <f ca="1">VLOOKUP(A31,INDIRECT('LOCCS Import'!$H$3&amp;"$A$3"):INDIRECT('LOCCS Import'!$H$3&amp;"$O$54"),7,)</f>
        <v>3.63</v>
      </c>
      <c r="X31" s="60">
        <f ca="1">VLOOKUP(A31,INDIRECT('LOCCS Import'!$G$3&amp;"$A$3"):INDIRECT('LOCCS Import'!$G$3&amp;"$O$54"),7,)</f>
        <v>3.6</v>
      </c>
      <c r="Y31" s="60">
        <f ca="1">VLOOKUP(A31,INDIRECT('LOCCS Import'!$F$3&amp;"$A$3"):INDIRECT('LOCCS Import'!$F$3&amp;"$O$54"),7,)</f>
        <v>3.57</v>
      </c>
      <c r="Z31" s="60">
        <f ca="1">VLOOKUP(A31,INDIRECT('LOCCS Import'!$E$3&amp;"$A$3"):INDIRECT('LOCCS Import'!$E$3&amp;"$O$54"),7,)</f>
        <v>3.45</v>
      </c>
      <c r="AA31" s="60">
        <f>VLOOKUP(A31,template!$A$3:$P$54,7,)</f>
        <v>3.33</v>
      </c>
      <c r="AB31" s="58">
        <f t="shared" ca="1" si="0"/>
        <v>3.95</v>
      </c>
      <c r="AC31" s="60">
        <f t="shared" ca="1" si="1"/>
        <v>3.02</v>
      </c>
      <c r="AD31" s="61">
        <f t="shared" ca="1" si="2"/>
        <v>3.5325000000000002</v>
      </c>
      <c r="AE31" s="84">
        <f t="shared" ca="1" si="3"/>
        <v>34</v>
      </c>
      <c r="AF31" s="138"/>
      <c r="AG31" s="3">
        <f ca="1">VLOOKUP(A31,INDIRECT('LOCCS Import'!$AA$3&amp;"$A$3"):INDIRECT('LOCCS Import'!$AA$3&amp;"$O$54"),8,)</f>
        <v>1.05</v>
      </c>
      <c r="AH31" s="1">
        <f ca="1">VLOOKUP(A31,INDIRECT('LOCCS Import'!$Z$3&amp;"$A$3"):INDIRECT('LOCCS Import'!$Z$3&amp;"$O$54"),8,)</f>
        <v>1.0900000000000001</v>
      </c>
      <c r="AI31" s="1">
        <f ca="1">VLOOKUP(A31,INDIRECT('LOCCS Import'!$Y$3&amp;"$A$3"):INDIRECT('LOCCS Import'!$Y$3&amp;"$O$54"),8,)</f>
        <v>1.05</v>
      </c>
      <c r="AJ31" s="1">
        <f ca="1">VLOOKUP(A31,INDIRECT('LOCCS Import'!$X$3&amp;"$A$3"):INDIRECT('LOCCS Import'!$X$3&amp;"$O$54"),8,)</f>
        <v>1.46</v>
      </c>
      <c r="AK31" s="1">
        <f ca="1">VLOOKUP(A31,INDIRECT('LOCCS Import'!$W$3&amp;"$A$3"):INDIRECT('LOCCS Import'!$W$3&amp;"$O$54"),8,)</f>
        <v>1.48</v>
      </c>
      <c r="AL31" s="1">
        <f ca="1">VLOOKUP(A31,INDIRECT('LOCCS Import'!$V$3&amp;"$A$3"):INDIRECT('LOCCS Import'!$V$3&amp;"$O$54"),8,)</f>
        <v>1.6</v>
      </c>
      <c r="AM31" s="1">
        <f ca="1">VLOOKUP(A31,INDIRECT('LOCCS Import'!$U$3&amp;"$A$3"):INDIRECT('LOCCS Import'!$U$3&amp;"$O$54"),8,)</f>
        <v>1.6</v>
      </c>
      <c r="AN31" s="1">
        <f ca="1">VLOOKUP(A31,INDIRECT('LOCCS Import'!$T$3&amp;"$A$3"):INDIRECT('LOCCS Import'!$T$3&amp;"$O$54"),8,)</f>
        <v>1.58</v>
      </c>
      <c r="AO31" s="1">
        <f ca="1">VLOOKUP(A31,INDIRECT('LOCCS Import'!$S$3&amp;"$A$3"):INDIRECT('LOCCS Import'!$S$3&amp;"$O$54"),8,)</f>
        <v>1.05</v>
      </c>
      <c r="AP31" s="1">
        <f ca="1">VLOOKUP(A31,INDIRECT('LOCCS Import'!$R$3&amp;"$A$3"):INDIRECT('LOCCS Import'!$R$3&amp;"$O$54"),8,)</f>
        <v>0.99</v>
      </c>
      <c r="AQ31" s="1">
        <f ca="1">VLOOKUP(A31,INDIRECT('LOCCS Import'!$Q$3&amp;"$A$3"):INDIRECT('LOCCS Import'!$Q$3&amp;"$O$54"),8,)</f>
        <v>1.08</v>
      </c>
      <c r="AR31" s="1">
        <f ca="1">VLOOKUP(A31,INDIRECT('LOCCS Import'!$P$3&amp;"$A$3"):INDIRECT('LOCCS Import'!$P$3&amp;"$O$54"),8,)</f>
        <v>1.06</v>
      </c>
      <c r="AS31" s="1">
        <f ca="1">VLOOKUP(A31,INDIRECT('LOCCS Import'!$O$3&amp;"$A$3"):INDIRECT('LOCCS Import'!$O$3&amp;"$O$54"),8,)</f>
        <v>1.1200000000000001</v>
      </c>
      <c r="AT31" s="1">
        <f ca="1">VLOOKUP(A31,INDIRECT('LOCCS Import'!$N$3&amp;"$A$3"):INDIRECT('LOCCS Import'!$N$3&amp;"$O$54"),8,)</f>
        <v>1.08</v>
      </c>
      <c r="AU31" s="1">
        <f ca="1">VLOOKUP(A31,INDIRECT('LOCCS Import'!$M$3&amp;"$A$3"):INDIRECT('LOCCS Import'!$M$3&amp;"$O$54"),8,)</f>
        <v>1.07</v>
      </c>
      <c r="AV31" s="1">
        <f ca="1">VLOOKUP(A31,INDIRECT('LOCCS Import'!$L$3&amp;"$A$3"):INDIRECT('LOCCS Import'!$L$3&amp;"$O$54"),8,)</f>
        <v>0.81</v>
      </c>
      <c r="AW31" s="1">
        <f ca="1">VLOOKUP(A31,INDIRECT('LOCCS Import'!$K$3&amp;"$A$3"):INDIRECT('LOCCS Import'!$K$3&amp;"$O$54"),8,)</f>
        <v>0.78</v>
      </c>
      <c r="AX31" s="1">
        <f ca="1">VLOOKUP(A31,INDIRECT('LOCCS Import'!$J$3&amp;"$A$3"):INDIRECT('LOCCS Import'!$J$3&amp;"$O$54"),8,)</f>
        <v>0.65</v>
      </c>
      <c r="AY31" s="1">
        <f ca="1">VLOOKUP(A31,INDIRECT('LOCCS Import'!$I$3&amp;"$A$3"):INDIRECT('LOCCS Import'!$I$3&amp;"$O$54"),8,)</f>
        <v>0.66</v>
      </c>
      <c r="AZ31" s="1">
        <f ca="1">VLOOKUP(A31,INDIRECT('LOCCS Import'!$H$3&amp;"$A$3"):INDIRECT('LOCCS Import'!$H$3&amp;"$O$54"),8,)</f>
        <v>0.65</v>
      </c>
      <c r="BA31" s="1">
        <f ca="1">VLOOKUP(A31,INDIRECT('LOCCS Import'!$G$3&amp;"$A$3"):INDIRECT('LOCCS Import'!$G$3&amp;"$O$54"),8,)</f>
        <v>0.66</v>
      </c>
      <c r="BB31" s="1">
        <f ca="1">VLOOKUP(A31,INDIRECT('LOCCS Import'!$F$3&amp;"$A$3"):INDIRECT('LOCCS Import'!$F$3&amp;"$O$54"),8,)</f>
        <v>0.67</v>
      </c>
      <c r="BC31" s="1">
        <f ca="1">VLOOKUP(A31,INDIRECT('LOCCS Import'!$E$3&amp;"$A$3"):INDIRECT('LOCCS Import'!$E$3&amp;"$O$54"),8,)</f>
        <v>0.64</v>
      </c>
      <c r="BD31" s="2">
        <f>VLOOKUP(A31,template!$A$3:$P$54,8,)</f>
        <v>0.64</v>
      </c>
      <c r="BE31" s="2">
        <f t="shared" ca="1" si="4"/>
        <v>0.78583333333333361</v>
      </c>
      <c r="BF31" s="115">
        <f t="shared" ca="1" si="5"/>
        <v>45</v>
      </c>
    </row>
    <row r="32" spans="1:58" x14ac:dyDescent="0.3">
      <c r="A32" s="67" t="s">
        <v>44</v>
      </c>
      <c r="B32" s="64" t="s">
        <v>70</v>
      </c>
      <c r="C32" s="64" t="s">
        <v>110</v>
      </c>
      <c r="D32" s="60">
        <f ca="1">VLOOKUP(A32,INDIRECT('LOCCS Import'!$AA$3&amp;"$A$3"):INDIRECT('LOCCS Import'!$AA$3&amp;"$O$54"),7,)</f>
        <v>4.51</v>
      </c>
      <c r="E32" s="60">
        <f ca="1">VLOOKUP(A32,INDIRECT('LOCCS Import'!$Z$3&amp;"$A$3"):INDIRECT('LOCCS Import'!$Z$3&amp;"$O$54"),7,)</f>
        <v>4.51</v>
      </c>
      <c r="F32" s="60">
        <f ca="1">VLOOKUP(A32,INDIRECT('LOCCS Import'!$Y$3&amp;"$A$3"):INDIRECT('LOCCS Import'!$Y$3&amp;"$O$54"),7,)</f>
        <v>4.4800000000000004</v>
      </c>
      <c r="G32" s="60">
        <f ca="1">VLOOKUP(A32,INDIRECT('LOCCS Import'!$X$3&amp;"$A$3"):INDIRECT('LOCCS Import'!$X$3&amp;"$O$54"),7,)</f>
        <v>4.33</v>
      </c>
      <c r="H32" s="60">
        <f ca="1">VLOOKUP(A32,INDIRECT('LOCCS Import'!$W$3&amp;"$A$3"):INDIRECT('LOCCS Import'!$W$3&amp;"$O$54"),7,)</f>
        <v>4.33</v>
      </c>
      <c r="I32" s="60">
        <f ca="1">VLOOKUP(A32,INDIRECT('LOCCS Import'!$V$3&amp;"$A$3"):INDIRECT('LOCCS Import'!$V$3&amp;"$O$54"),7,)</f>
        <v>4.21</v>
      </c>
      <c r="J32" s="60">
        <f ca="1">VLOOKUP(A32,INDIRECT('LOCCS Import'!$U$3&amp;"$A$3"):INDIRECT('LOCCS Import'!$U$3&amp;"$O$54"),7,)</f>
        <v>4.21</v>
      </c>
      <c r="K32" s="60">
        <f ca="1">VLOOKUP(A32,INDIRECT('LOCCS Import'!$T$3&amp;"$A$3"):INDIRECT('LOCCS Import'!$T$3&amp;"$O$54"),7,)</f>
        <v>4.1500000000000004</v>
      </c>
      <c r="L32" s="60">
        <f ca="1">VLOOKUP(A32,INDIRECT('LOCCS Import'!$S$3&amp;"$A$3"):INDIRECT('LOCCS Import'!$S$3&amp;"$O$54"),7,)</f>
        <v>4</v>
      </c>
      <c r="M32" s="60">
        <f ca="1">VLOOKUP(A32,INDIRECT('LOCCS Import'!$R$3&amp;"$A$3"):INDIRECT('LOCCS Import'!$R$3&amp;"$O$54"),7,)</f>
        <v>3.89</v>
      </c>
      <c r="N32" s="60">
        <f ca="1">VLOOKUP(A32,INDIRECT('LOCCS Import'!$Q$3&amp;"$A$3"):INDIRECT('LOCCS Import'!$Q$3&amp;"$O$54"),7,)</f>
        <v>3.89</v>
      </c>
      <c r="O32" s="60">
        <f ca="1">VLOOKUP(A32,INDIRECT('LOCCS Import'!$P$3&amp;"$A$3"):INDIRECT('LOCCS Import'!$P$3&amp;"$O$54"),7,)</f>
        <v>3.74</v>
      </c>
      <c r="P32" s="60">
        <f ca="1">VLOOKUP(A32,INDIRECT('LOCCS Import'!$O$3&amp;"$A$3"):INDIRECT('LOCCS Import'!$O$3&amp;"$O$54"),7,)</f>
        <v>3.65</v>
      </c>
      <c r="Q32" s="60">
        <f ca="1">VLOOKUP(A32,INDIRECT('LOCCS Import'!$N$3&amp;"$A$3"):INDIRECT('LOCCS Import'!$N$3&amp;"$O$54"),7,)</f>
        <v>3.52</v>
      </c>
      <c r="R32" s="60">
        <f ca="1">VLOOKUP(A32,INDIRECT('LOCCS Import'!$M$3&amp;"$A$3"):INDIRECT('LOCCS Import'!$M$3&amp;"$O$54"),7,)</f>
        <v>4.5599999999999996</v>
      </c>
      <c r="S32" s="60">
        <f ca="1">VLOOKUP(A32,INDIRECT('LOCCS Import'!$L$3&amp;"$A$3"):INDIRECT('LOCCS Import'!$L$3&amp;"$O$54"),7,)</f>
        <v>4.41</v>
      </c>
      <c r="T32" s="60">
        <f ca="1">VLOOKUP(A32,INDIRECT('LOCCS Import'!$K$3&amp;"$A$3"):INDIRECT('LOCCS Import'!$K$3&amp;"$O$54"),7,)</f>
        <v>4.29</v>
      </c>
      <c r="U32" s="60">
        <f ca="1">VLOOKUP(A32,INDIRECT('LOCCS Import'!$J$3&amp;"$A$3"):INDIRECT('LOCCS Import'!$J$3&amp;"$O$54"),7,)</f>
        <v>4.22</v>
      </c>
      <c r="V32" s="60">
        <f ca="1">VLOOKUP(A32,INDIRECT('LOCCS Import'!$I$3&amp;"$A$3"):INDIRECT('LOCCS Import'!$I$3&amp;"$O$54"),7,)</f>
        <v>4.2</v>
      </c>
      <c r="W32" s="60">
        <f ca="1">VLOOKUP(A32,INDIRECT('LOCCS Import'!$H$3&amp;"$A$3"):INDIRECT('LOCCS Import'!$H$3&amp;"$O$54"),7,)</f>
        <v>4.2</v>
      </c>
      <c r="X32" s="60">
        <f ca="1">VLOOKUP(A32,INDIRECT('LOCCS Import'!$G$3&amp;"$A$3"):INDIRECT('LOCCS Import'!$G$3&amp;"$O$54"),7,)</f>
        <v>4.04</v>
      </c>
      <c r="Y32" s="60">
        <f ca="1">VLOOKUP(A32,INDIRECT('LOCCS Import'!$F$3&amp;"$A$3"):INDIRECT('LOCCS Import'!$F$3&amp;"$O$54"),7,)</f>
        <v>4.04</v>
      </c>
      <c r="Z32" s="60">
        <f ca="1">VLOOKUP(A32,INDIRECT('LOCCS Import'!$E$3&amp;"$A$3"):INDIRECT('LOCCS Import'!$E$3&amp;"$O$54"),7,)</f>
        <v>3.77</v>
      </c>
      <c r="AA32" s="60">
        <f>VLOOKUP(A32,template!$A$3:$P$54,7,)</f>
        <v>3.68</v>
      </c>
      <c r="AB32" s="58">
        <f t="shared" ca="1" si="0"/>
        <v>4.5599999999999996</v>
      </c>
      <c r="AC32" s="60">
        <f t="shared" ca="1" si="1"/>
        <v>3.52</v>
      </c>
      <c r="AD32" s="61">
        <f t="shared" ca="1" si="2"/>
        <v>4.0483333333333329</v>
      </c>
      <c r="AE32" s="84">
        <f t="shared" ca="1" si="3"/>
        <v>40</v>
      </c>
      <c r="AF32" s="138"/>
      <c r="AG32" s="3">
        <f ca="1">VLOOKUP(A32,INDIRECT('LOCCS Import'!$AA$3&amp;"$A$3"):INDIRECT('LOCCS Import'!$AA$3&amp;"$O$54"),8,)</f>
        <v>0.71</v>
      </c>
      <c r="AH32" s="1">
        <f ca="1">VLOOKUP(A32,INDIRECT('LOCCS Import'!$Z$3&amp;"$A$3"):INDIRECT('LOCCS Import'!$Z$3&amp;"$O$54"),8,)</f>
        <v>0.64</v>
      </c>
      <c r="AI32" s="1">
        <f ca="1">VLOOKUP(A32,INDIRECT('LOCCS Import'!$Y$3&amp;"$A$3"):INDIRECT('LOCCS Import'!$Y$3&amp;"$O$54"),8,)</f>
        <v>0.63</v>
      </c>
      <c r="AJ32" s="1">
        <f ca="1">VLOOKUP(A32,INDIRECT('LOCCS Import'!$X$3&amp;"$A$3"):INDIRECT('LOCCS Import'!$X$3&amp;"$O$54"),8,)</f>
        <v>0.67</v>
      </c>
      <c r="AK32" s="1">
        <f ca="1">VLOOKUP(A32,INDIRECT('LOCCS Import'!$W$3&amp;"$A$3"):INDIRECT('LOCCS Import'!$W$3&amp;"$O$54"),8,)</f>
        <v>0.63</v>
      </c>
      <c r="AL32" s="1">
        <f ca="1">VLOOKUP(A32,INDIRECT('LOCCS Import'!$V$3&amp;"$A$3"):INDIRECT('LOCCS Import'!$V$3&amp;"$O$54"),8,)</f>
        <v>0.75</v>
      </c>
      <c r="AM32" s="1">
        <f ca="1">VLOOKUP(A32,INDIRECT('LOCCS Import'!$U$3&amp;"$A$3"):INDIRECT('LOCCS Import'!$U$3&amp;"$O$54"),8,)</f>
        <v>0.75</v>
      </c>
      <c r="AN32" s="1">
        <f ca="1">VLOOKUP(A32,INDIRECT('LOCCS Import'!$T$3&amp;"$A$3"):INDIRECT('LOCCS Import'!$T$3&amp;"$O$54"),8,)</f>
        <v>0.68</v>
      </c>
      <c r="AO32" s="1">
        <f ca="1">VLOOKUP(A32,INDIRECT('LOCCS Import'!$S$3&amp;"$A$3"):INDIRECT('LOCCS Import'!$S$3&amp;"$O$54"),8,)</f>
        <v>0.73</v>
      </c>
      <c r="AP32" s="1">
        <f ca="1">VLOOKUP(A32,INDIRECT('LOCCS Import'!$R$3&amp;"$A$3"):INDIRECT('LOCCS Import'!$R$3&amp;"$O$54"),8,)</f>
        <v>0.83</v>
      </c>
      <c r="AQ32" s="1">
        <f ca="1">VLOOKUP(A32,INDIRECT('LOCCS Import'!$Q$3&amp;"$A$3"):INDIRECT('LOCCS Import'!$Q$3&amp;"$O$54"),8,)</f>
        <v>0.72</v>
      </c>
      <c r="AR32" s="1">
        <f ca="1">VLOOKUP(A32,INDIRECT('LOCCS Import'!$P$3&amp;"$A$3"):INDIRECT('LOCCS Import'!$P$3&amp;"$O$54"),8,)</f>
        <v>0.83</v>
      </c>
      <c r="AS32" s="1">
        <f ca="1">VLOOKUP(A32,INDIRECT('LOCCS Import'!$O$3&amp;"$A$3"):INDIRECT('LOCCS Import'!$O$3&amp;"$O$54"),8,)</f>
        <v>0.86</v>
      </c>
      <c r="AT32" s="1">
        <f ca="1">VLOOKUP(A32,INDIRECT('LOCCS Import'!$N$3&amp;"$A$3"):INDIRECT('LOCCS Import'!$N$3&amp;"$O$54"),8,)</f>
        <v>0.99</v>
      </c>
      <c r="AU32" s="1">
        <f ca="1">VLOOKUP(A32,INDIRECT('LOCCS Import'!$M$3&amp;"$A$3"):INDIRECT('LOCCS Import'!$M$3&amp;"$O$54"),8,)</f>
        <v>0.97</v>
      </c>
      <c r="AV32" s="1">
        <f ca="1">VLOOKUP(A32,INDIRECT('LOCCS Import'!$L$3&amp;"$A$3"):INDIRECT('LOCCS Import'!$L$3&amp;"$O$54"),8,)</f>
        <v>0.97</v>
      </c>
      <c r="AW32" s="1">
        <f ca="1">VLOOKUP(A32,INDIRECT('LOCCS Import'!$K$3&amp;"$A$3"):INDIRECT('LOCCS Import'!$K$3&amp;"$O$54"),8,)</f>
        <v>1.0900000000000001</v>
      </c>
      <c r="AX32" s="1">
        <f ca="1">VLOOKUP(A32,INDIRECT('LOCCS Import'!$J$3&amp;"$A$3"):INDIRECT('LOCCS Import'!$J$3&amp;"$O$54"),8,)</f>
        <v>1.04</v>
      </c>
      <c r="AY32" s="1">
        <f ca="1">VLOOKUP(A32,INDIRECT('LOCCS Import'!$I$3&amp;"$A$3"):INDIRECT('LOCCS Import'!$I$3&amp;"$O$54"),8,)</f>
        <v>1.05</v>
      </c>
      <c r="AZ32" s="1">
        <f ca="1">VLOOKUP(A32,INDIRECT('LOCCS Import'!$H$3&amp;"$A$3"):INDIRECT('LOCCS Import'!$H$3&amp;"$O$54"),8,)</f>
        <v>1</v>
      </c>
      <c r="BA32" s="1">
        <f ca="1">VLOOKUP(A32,INDIRECT('LOCCS Import'!$G$3&amp;"$A$3"):INDIRECT('LOCCS Import'!$G$3&amp;"$O$54"),8,)</f>
        <v>0.88</v>
      </c>
      <c r="BB32" s="1">
        <f ca="1">VLOOKUP(A32,INDIRECT('LOCCS Import'!$F$3&amp;"$A$3"):INDIRECT('LOCCS Import'!$F$3&amp;"$O$54"),8,)</f>
        <v>0.9</v>
      </c>
      <c r="BC32" s="1">
        <f ca="1">VLOOKUP(A32,INDIRECT('LOCCS Import'!$E$3&amp;"$A$3"):INDIRECT('LOCCS Import'!$E$3&amp;"$O$54"),8,)</f>
        <v>1.17</v>
      </c>
      <c r="BD32" s="2">
        <f>VLOOKUP(A32,template!$A$3:$P$54,8,)</f>
        <v>1.0900000000000001</v>
      </c>
      <c r="BE32" s="2">
        <f t="shared" ca="1" si="4"/>
        <v>1.0008333333333332</v>
      </c>
      <c r="BF32" s="115">
        <f t="shared" ca="1" si="5"/>
        <v>18</v>
      </c>
    </row>
    <row r="33" spans="1:58" x14ac:dyDescent="0.3">
      <c r="A33" s="67" t="s">
        <v>45</v>
      </c>
      <c r="B33" s="64" t="s">
        <v>70</v>
      </c>
      <c r="C33" s="64" t="s">
        <v>111</v>
      </c>
      <c r="D33" s="60">
        <f ca="1">VLOOKUP(A33,INDIRECT('LOCCS Import'!$AA$3&amp;"$A$3"):INDIRECT('LOCCS Import'!$AA$3&amp;"$O$54"),7,)</f>
        <v>3.45</v>
      </c>
      <c r="E33" s="60">
        <f ca="1">VLOOKUP(A33,INDIRECT('LOCCS Import'!$Z$3&amp;"$A$3"):INDIRECT('LOCCS Import'!$Z$3&amp;"$O$54"),7,)</f>
        <v>3.28</v>
      </c>
      <c r="F33" s="60">
        <f ca="1">VLOOKUP(A33,INDIRECT('LOCCS Import'!$Y$3&amp;"$A$3"):INDIRECT('LOCCS Import'!$Y$3&amp;"$O$54"),7,)</f>
        <v>3.19</v>
      </c>
      <c r="G33" s="60">
        <f ca="1">VLOOKUP(A33,INDIRECT('LOCCS Import'!$X$3&amp;"$A$3"):INDIRECT('LOCCS Import'!$X$3&amp;"$O$54"),7,)</f>
        <v>3.1</v>
      </c>
      <c r="H33" s="60">
        <f ca="1">VLOOKUP(A33,INDIRECT('LOCCS Import'!$W$3&amp;"$A$3"):INDIRECT('LOCCS Import'!$W$3&amp;"$O$54"),7,)</f>
        <v>3.07</v>
      </c>
      <c r="I33" s="60">
        <f ca="1">VLOOKUP(A33,INDIRECT('LOCCS Import'!$V$3&amp;"$A$3"):INDIRECT('LOCCS Import'!$V$3&amp;"$O$54"),7,)</f>
        <v>3.03</v>
      </c>
      <c r="J33" s="60">
        <f ca="1">VLOOKUP(A33,INDIRECT('LOCCS Import'!$U$3&amp;"$A$3"):INDIRECT('LOCCS Import'!$U$3&amp;"$O$54"),7,)</f>
        <v>3.03</v>
      </c>
      <c r="K33" s="60">
        <f ca="1">VLOOKUP(A33,INDIRECT('LOCCS Import'!$T$3&amp;"$A$3"):INDIRECT('LOCCS Import'!$T$3&amp;"$O$54"),7,)</f>
        <v>2.92</v>
      </c>
      <c r="L33" s="60">
        <f ca="1">VLOOKUP(A33,INDIRECT('LOCCS Import'!$S$3&amp;"$A$3"):INDIRECT('LOCCS Import'!$S$3&amp;"$O$54"),7,)</f>
        <v>2.88</v>
      </c>
      <c r="M33" s="60">
        <f ca="1">VLOOKUP(A33,INDIRECT('LOCCS Import'!$R$3&amp;"$A$3"):INDIRECT('LOCCS Import'!$R$3&amp;"$O$54"),7,)</f>
        <v>2.79</v>
      </c>
      <c r="N33" s="60">
        <f ca="1">VLOOKUP(A33,INDIRECT('LOCCS Import'!$Q$3&amp;"$A$3"):INDIRECT('LOCCS Import'!$Q$3&amp;"$O$54"),7,)</f>
        <v>2.73</v>
      </c>
      <c r="O33" s="60">
        <f ca="1">VLOOKUP(A33,INDIRECT('LOCCS Import'!$P$3&amp;"$A$3"):INDIRECT('LOCCS Import'!$P$3&amp;"$O$54"),7,)</f>
        <v>3.64</v>
      </c>
      <c r="P33" s="60">
        <f ca="1">VLOOKUP(A33,INDIRECT('LOCCS Import'!$O$3&amp;"$A$3"):INDIRECT('LOCCS Import'!$O$3&amp;"$O$54"),7,)</f>
        <v>3.55</v>
      </c>
      <c r="Q33" s="60">
        <f ca="1">VLOOKUP(A33,INDIRECT('LOCCS Import'!$N$3&amp;"$A$3"):INDIRECT('LOCCS Import'!$N$3&amp;"$O$54"),7,)</f>
        <v>3.47</v>
      </c>
      <c r="R33" s="60">
        <f ca="1">VLOOKUP(A33,INDIRECT('LOCCS Import'!$M$3&amp;"$A$3"):INDIRECT('LOCCS Import'!$M$3&amp;"$O$54"),7,)</f>
        <v>3.37</v>
      </c>
      <c r="S33" s="60">
        <f ca="1">VLOOKUP(A33,INDIRECT('LOCCS Import'!$L$3&amp;"$A$3"):INDIRECT('LOCCS Import'!$L$3&amp;"$O$54"),7,)</f>
        <v>3.33</v>
      </c>
      <c r="T33" s="60">
        <f ca="1">VLOOKUP(A33,INDIRECT('LOCCS Import'!$K$3&amp;"$A$3"):INDIRECT('LOCCS Import'!$K$3&amp;"$O$54"),7,)</f>
        <v>3.26</v>
      </c>
      <c r="U33" s="60">
        <f ca="1">VLOOKUP(A33,INDIRECT('LOCCS Import'!$J$3&amp;"$A$3"):INDIRECT('LOCCS Import'!$J$3&amp;"$O$54"),7,)</f>
        <v>3.17</v>
      </c>
      <c r="V33" s="60">
        <f ca="1">VLOOKUP(A33,INDIRECT('LOCCS Import'!$I$3&amp;"$A$3"):INDIRECT('LOCCS Import'!$I$3&amp;"$O$54"),7,)</f>
        <v>3.12</v>
      </c>
      <c r="W33" s="60">
        <f ca="1">VLOOKUP(A33,INDIRECT('LOCCS Import'!$H$3&amp;"$A$3"):INDIRECT('LOCCS Import'!$H$3&amp;"$O$54"),7,)</f>
        <v>3.06</v>
      </c>
      <c r="X33" s="60">
        <f ca="1">VLOOKUP(A33,INDIRECT('LOCCS Import'!$G$3&amp;"$A$3"):INDIRECT('LOCCS Import'!$G$3&amp;"$O$54"),7,)</f>
        <v>2.98</v>
      </c>
      <c r="Y33" s="60">
        <f ca="1">VLOOKUP(A33,INDIRECT('LOCCS Import'!$F$3&amp;"$A$3"):INDIRECT('LOCCS Import'!$F$3&amp;"$O$54"),7,)</f>
        <v>2.88</v>
      </c>
      <c r="Z33" s="60">
        <f ca="1">VLOOKUP(A33,INDIRECT('LOCCS Import'!$E$3&amp;"$A$3"):INDIRECT('LOCCS Import'!$E$3&amp;"$O$54"),7,)</f>
        <v>2.8</v>
      </c>
      <c r="AA33" s="60">
        <f>VLOOKUP(A33,template!$A$3:$P$54,7,)</f>
        <v>3.71</v>
      </c>
      <c r="AB33" s="58">
        <f t="shared" ca="1" si="0"/>
        <v>3.71</v>
      </c>
      <c r="AC33" s="60">
        <f t="shared" ca="1" si="1"/>
        <v>2.8</v>
      </c>
      <c r="AD33" s="61">
        <f t="shared" ca="1" si="2"/>
        <v>3.2249999999999996</v>
      </c>
      <c r="AE33" s="84">
        <f t="shared" ca="1" si="3"/>
        <v>28</v>
      </c>
      <c r="AF33" s="138"/>
      <c r="AG33" s="3">
        <f ca="1">VLOOKUP(A33,INDIRECT('LOCCS Import'!$AA$3&amp;"$A$3"):INDIRECT('LOCCS Import'!$AA$3&amp;"$O$54"),8,)</f>
        <v>1.3</v>
      </c>
      <c r="AH33" s="1">
        <f ca="1">VLOOKUP(A33,INDIRECT('LOCCS Import'!$Z$3&amp;"$A$3"):INDIRECT('LOCCS Import'!$Z$3&amp;"$O$54"),8,)</f>
        <v>1.36</v>
      </c>
      <c r="AI33" s="1">
        <f ca="1">VLOOKUP(A33,INDIRECT('LOCCS Import'!$Y$3&amp;"$A$3"):INDIRECT('LOCCS Import'!$Y$3&amp;"$O$54"),8,)</f>
        <v>1.31</v>
      </c>
      <c r="AJ33" s="1">
        <f ca="1">VLOOKUP(A33,INDIRECT('LOCCS Import'!$X$3&amp;"$A$3"):INDIRECT('LOCCS Import'!$X$3&amp;"$O$54"),8,)</f>
        <v>1.3</v>
      </c>
      <c r="AK33" s="1">
        <f ca="1">VLOOKUP(A33,INDIRECT('LOCCS Import'!$W$3&amp;"$A$3"):INDIRECT('LOCCS Import'!$W$3&amp;"$O$54"),8,)</f>
        <v>1.2</v>
      </c>
      <c r="AL33" s="1">
        <f ca="1">VLOOKUP(A33,INDIRECT('LOCCS Import'!$V$3&amp;"$A$3"):INDIRECT('LOCCS Import'!$V$3&amp;"$O$54"),8,)</f>
        <v>1.1499999999999999</v>
      </c>
      <c r="AM33" s="1">
        <f ca="1">VLOOKUP(A33,INDIRECT('LOCCS Import'!$U$3&amp;"$A$3"):INDIRECT('LOCCS Import'!$U$3&amp;"$O$54"),8,)</f>
        <v>1.1499999999999999</v>
      </c>
      <c r="AN33" s="1">
        <f ca="1">VLOOKUP(A33,INDIRECT('LOCCS Import'!$T$3&amp;"$A$3"):INDIRECT('LOCCS Import'!$T$3&amp;"$O$54"),8,)</f>
        <v>1.05</v>
      </c>
      <c r="AO33" s="1">
        <f ca="1">VLOOKUP(A33,INDIRECT('LOCCS Import'!$S$3&amp;"$A$3"):INDIRECT('LOCCS Import'!$S$3&amp;"$O$54"),8,)</f>
        <v>0.92</v>
      </c>
      <c r="AP33" s="1">
        <f ca="1">VLOOKUP(A33,INDIRECT('LOCCS Import'!$R$3&amp;"$A$3"):INDIRECT('LOCCS Import'!$R$3&amp;"$O$54"),8,)</f>
        <v>0.95</v>
      </c>
      <c r="AQ33" s="1">
        <f ca="1">VLOOKUP(A33,INDIRECT('LOCCS Import'!$Q$3&amp;"$A$3"):INDIRECT('LOCCS Import'!$Q$3&amp;"$O$54"),8,)</f>
        <v>0.81</v>
      </c>
      <c r="AR33" s="1">
        <f ca="1">VLOOKUP(A33,INDIRECT('LOCCS Import'!$P$3&amp;"$A$3"):INDIRECT('LOCCS Import'!$P$3&amp;"$O$54"),8,)</f>
        <v>0.87</v>
      </c>
      <c r="AS33" s="1">
        <f ca="1">VLOOKUP(A33,INDIRECT('LOCCS Import'!$O$3&amp;"$A$3"):INDIRECT('LOCCS Import'!$O$3&amp;"$O$54"),8,)</f>
        <v>0.87</v>
      </c>
      <c r="AT33" s="1">
        <f ca="1">VLOOKUP(A33,INDIRECT('LOCCS Import'!$N$3&amp;"$A$3"):INDIRECT('LOCCS Import'!$N$3&amp;"$O$54"),8,)</f>
        <v>0.8</v>
      </c>
      <c r="AU33" s="1">
        <f ca="1">VLOOKUP(A33,INDIRECT('LOCCS Import'!$M$3&amp;"$A$3"):INDIRECT('LOCCS Import'!$M$3&amp;"$O$54"),8,)</f>
        <v>0.81</v>
      </c>
      <c r="AV33" s="1">
        <f ca="1">VLOOKUP(A33,INDIRECT('LOCCS Import'!$L$3&amp;"$A$3"):INDIRECT('LOCCS Import'!$L$3&amp;"$O$54"),8,)</f>
        <v>0.76</v>
      </c>
      <c r="AW33" s="1">
        <f ca="1">VLOOKUP(A33,INDIRECT('LOCCS Import'!$K$3&amp;"$A$3"):INDIRECT('LOCCS Import'!$K$3&amp;"$O$54"),8,)</f>
        <v>0.79</v>
      </c>
      <c r="AX33" s="1">
        <f ca="1">VLOOKUP(A33,INDIRECT('LOCCS Import'!$J$3&amp;"$A$3"):INDIRECT('LOCCS Import'!$J$3&amp;"$O$54"),8,)</f>
        <v>0.84</v>
      </c>
      <c r="AY33" s="1">
        <f ca="1">VLOOKUP(A33,INDIRECT('LOCCS Import'!$I$3&amp;"$A$3"):INDIRECT('LOCCS Import'!$I$3&amp;"$O$54"),8,)</f>
        <v>0.86</v>
      </c>
      <c r="AZ33" s="1">
        <f ca="1">VLOOKUP(A33,INDIRECT('LOCCS Import'!$H$3&amp;"$A$3"):INDIRECT('LOCCS Import'!$H$3&amp;"$O$54"),8,)</f>
        <v>0.85</v>
      </c>
      <c r="BA33" s="1">
        <f ca="1">VLOOKUP(A33,INDIRECT('LOCCS Import'!$G$3&amp;"$A$3"):INDIRECT('LOCCS Import'!$G$3&amp;"$O$54"),8,)</f>
        <v>0.89</v>
      </c>
      <c r="BB33" s="1">
        <f ca="1">VLOOKUP(A33,INDIRECT('LOCCS Import'!$F$3&amp;"$A$3"):INDIRECT('LOCCS Import'!$F$3&amp;"$O$54"),8,)</f>
        <v>0.88</v>
      </c>
      <c r="BC33" s="1">
        <f ca="1">VLOOKUP(A33,INDIRECT('LOCCS Import'!$E$3&amp;"$A$3"):INDIRECT('LOCCS Import'!$E$3&amp;"$O$54"),8,)</f>
        <v>0.92</v>
      </c>
      <c r="BD33" s="2">
        <f>VLOOKUP(A33,template!$A$3:$P$54,8,)</f>
        <v>0.92</v>
      </c>
      <c r="BE33" s="2">
        <f t="shared" ca="1" si="4"/>
        <v>0.84916666666666663</v>
      </c>
      <c r="BF33" s="115">
        <f t="shared" ca="1" si="5"/>
        <v>34</v>
      </c>
    </row>
    <row r="34" spans="1:58" x14ac:dyDescent="0.3">
      <c r="A34" s="67" t="s">
        <v>46</v>
      </c>
      <c r="B34" s="64" t="s">
        <v>70</v>
      </c>
      <c r="C34" s="64" t="s">
        <v>112</v>
      </c>
      <c r="D34" s="60">
        <f ca="1">VLOOKUP(A34,INDIRECT('LOCCS Import'!$AA$3&amp;"$A$3"):INDIRECT('LOCCS Import'!$AA$3&amp;"$O$54"),7,)</f>
        <v>5.69</v>
      </c>
      <c r="E34" s="60">
        <f ca="1">VLOOKUP(A34,INDIRECT('LOCCS Import'!$Z$3&amp;"$A$3"):INDIRECT('LOCCS Import'!$Z$3&amp;"$O$54"),7,)</f>
        <v>5.64</v>
      </c>
      <c r="F34" s="60">
        <f ca="1">VLOOKUP(A34,INDIRECT('LOCCS Import'!$Y$3&amp;"$A$3"):INDIRECT('LOCCS Import'!$Y$3&amp;"$O$54"),7,)</f>
        <v>5.6</v>
      </c>
      <c r="G34" s="60">
        <f ca="1">VLOOKUP(A34,INDIRECT('LOCCS Import'!$X$3&amp;"$A$3"):INDIRECT('LOCCS Import'!$X$3&amp;"$O$54"),7,)</f>
        <v>5.5</v>
      </c>
      <c r="H34" s="60">
        <f ca="1">VLOOKUP(A34,INDIRECT('LOCCS Import'!$W$3&amp;"$A$3"):INDIRECT('LOCCS Import'!$W$3&amp;"$O$54"),7,)</f>
        <v>5.46</v>
      </c>
      <c r="I34" s="60">
        <f ca="1">VLOOKUP(A34,INDIRECT('LOCCS Import'!$V$3&amp;"$A$3"):INDIRECT('LOCCS Import'!$V$3&amp;"$O$54"),7,)</f>
        <v>5.32</v>
      </c>
      <c r="J34" s="60">
        <f ca="1">VLOOKUP(A34,INDIRECT('LOCCS Import'!$U$3&amp;"$A$3"):INDIRECT('LOCCS Import'!$U$3&amp;"$O$54"),7,)</f>
        <v>5.32</v>
      </c>
      <c r="K34" s="60">
        <f ca="1">VLOOKUP(A34,INDIRECT('LOCCS Import'!$T$3&amp;"$A$3"):INDIRECT('LOCCS Import'!$T$3&amp;"$O$54"),7,)</f>
        <v>5.24</v>
      </c>
      <c r="L34" s="60">
        <f ca="1">VLOOKUP(A34,INDIRECT('LOCCS Import'!$S$3&amp;"$A$3"):INDIRECT('LOCCS Import'!$S$3&amp;"$O$54"),7,)</f>
        <v>5.13</v>
      </c>
      <c r="M34" s="60">
        <f ca="1">VLOOKUP(A34,INDIRECT('LOCCS Import'!$R$3&amp;"$A$3"):INDIRECT('LOCCS Import'!$R$3&amp;"$O$54"),7,)</f>
        <v>5.01</v>
      </c>
      <c r="N34" s="60">
        <f ca="1">VLOOKUP(A34,INDIRECT('LOCCS Import'!$Q$3&amp;"$A$3"):INDIRECT('LOCCS Import'!$Q$3&amp;"$O$54"),7,)</f>
        <v>4.88</v>
      </c>
      <c r="O34" s="60">
        <f ca="1">VLOOKUP(A34,INDIRECT('LOCCS Import'!$P$3&amp;"$A$3"):INDIRECT('LOCCS Import'!$P$3&amp;"$O$54"),7,)</f>
        <v>5.79</v>
      </c>
      <c r="P34" s="60">
        <f ca="1">VLOOKUP(A34,INDIRECT('LOCCS Import'!$O$3&amp;"$A$3"):INDIRECT('LOCCS Import'!$O$3&amp;"$O$54"),7,)</f>
        <v>5.74</v>
      </c>
      <c r="Q34" s="60">
        <f ca="1">VLOOKUP(A34,INDIRECT('LOCCS Import'!$N$3&amp;"$A$3"):INDIRECT('LOCCS Import'!$N$3&amp;"$O$54"),7,)</f>
        <v>5.69</v>
      </c>
      <c r="R34" s="60">
        <f ca="1">VLOOKUP(A34,INDIRECT('LOCCS Import'!$M$3&amp;"$A$3"):INDIRECT('LOCCS Import'!$M$3&amp;"$O$54"),7,)</f>
        <v>5.63</v>
      </c>
      <c r="S34" s="60">
        <f ca="1">VLOOKUP(A34,INDIRECT('LOCCS Import'!$L$3&amp;"$A$3"):INDIRECT('LOCCS Import'!$L$3&amp;"$O$54"),7,)</f>
        <v>5.6</v>
      </c>
      <c r="T34" s="60">
        <f ca="1">VLOOKUP(A34,INDIRECT('LOCCS Import'!$K$3&amp;"$A$3"):INDIRECT('LOCCS Import'!$K$3&amp;"$O$54"),7,)</f>
        <v>5.58</v>
      </c>
      <c r="U34" s="60">
        <f ca="1">VLOOKUP(A34,INDIRECT('LOCCS Import'!$J$3&amp;"$A$3"):INDIRECT('LOCCS Import'!$J$3&amp;"$O$54"),7,)</f>
        <v>5.45</v>
      </c>
      <c r="V34" s="60">
        <f ca="1">VLOOKUP(A34,INDIRECT('LOCCS Import'!$I$3&amp;"$A$3"):INDIRECT('LOCCS Import'!$I$3&amp;"$O$54"),7,)</f>
        <v>5.35</v>
      </c>
      <c r="W34" s="60">
        <f ca="1">VLOOKUP(A34,INDIRECT('LOCCS Import'!$H$3&amp;"$A$3"):INDIRECT('LOCCS Import'!$H$3&amp;"$O$54"),7,)</f>
        <v>5.26</v>
      </c>
      <c r="X34" s="60">
        <f ca="1">VLOOKUP(A34,INDIRECT('LOCCS Import'!$G$3&amp;"$A$3"):INDIRECT('LOCCS Import'!$G$3&amp;"$O$54"),7,)</f>
        <v>5.18</v>
      </c>
      <c r="Y34" s="60">
        <f ca="1">VLOOKUP(A34,INDIRECT('LOCCS Import'!$F$3&amp;"$A$3"):INDIRECT('LOCCS Import'!$F$3&amp;"$O$54"),7,)</f>
        <v>5.03</v>
      </c>
      <c r="Z34" s="60">
        <f ca="1">VLOOKUP(A34,INDIRECT('LOCCS Import'!$E$3&amp;"$A$3"):INDIRECT('LOCCS Import'!$E$3&amp;"$O$54"),7,)</f>
        <v>4.9400000000000004</v>
      </c>
      <c r="AA34" s="60">
        <f>VLOOKUP(A34,template!$A$3:$P$54,7,)</f>
        <v>4.9000000000000004</v>
      </c>
      <c r="AB34" s="58">
        <f t="shared" ca="1" si="0"/>
        <v>5.74</v>
      </c>
      <c r="AC34" s="60">
        <f t="shared" ca="1" si="1"/>
        <v>4.9000000000000004</v>
      </c>
      <c r="AD34" s="61">
        <f t="shared" ca="1" si="2"/>
        <v>5.3624999999999998</v>
      </c>
      <c r="AE34" s="84">
        <f t="shared" ca="1" si="3"/>
        <v>48</v>
      </c>
      <c r="AF34" s="138"/>
      <c r="AG34" s="3">
        <f ca="1">VLOOKUP(A34,INDIRECT('LOCCS Import'!$AA$3&amp;"$A$3"):INDIRECT('LOCCS Import'!$AA$3&amp;"$O$54"),8,)</f>
        <v>0.69</v>
      </c>
      <c r="AH34" s="1">
        <f ca="1">VLOOKUP(A34,INDIRECT('LOCCS Import'!$Z$3&amp;"$A$3"):INDIRECT('LOCCS Import'!$Z$3&amp;"$O$54"),8,)</f>
        <v>0.7</v>
      </c>
      <c r="AI34" s="1">
        <f ca="1">VLOOKUP(A34,INDIRECT('LOCCS Import'!$Y$3&amp;"$A$3"):INDIRECT('LOCCS Import'!$Y$3&amp;"$O$54"),8,)</f>
        <v>0.7</v>
      </c>
      <c r="AJ34" s="1">
        <f ca="1">VLOOKUP(A34,INDIRECT('LOCCS Import'!$X$3&amp;"$A$3"):INDIRECT('LOCCS Import'!$X$3&amp;"$O$54"),8,)</f>
        <v>0.78</v>
      </c>
      <c r="AK34" s="1">
        <f ca="1">VLOOKUP(A34,INDIRECT('LOCCS Import'!$W$3&amp;"$A$3"):INDIRECT('LOCCS Import'!$W$3&amp;"$O$54"),8,)</f>
        <v>0.77</v>
      </c>
      <c r="AL34" s="1">
        <f ca="1">VLOOKUP(A34,INDIRECT('LOCCS Import'!$V$3&amp;"$A$3"):INDIRECT('LOCCS Import'!$V$3&amp;"$O$54"),8,)</f>
        <v>0.86</v>
      </c>
      <c r="AM34" s="1">
        <f ca="1">VLOOKUP(A34,INDIRECT('LOCCS Import'!$U$3&amp;"$A$3"):INDIRECT('LOCCS Import'!$U$3&amp;"$O$54"),8,)</f>
        <v>0.86</v>
      </c>
      <c r="AN34" s="1">
        <f ca="1">VLOOKUP(A34,INDIRECT('LOCCS Import'!$T$3&amp;"$A$3"):INDIRECT('LOCCS Import'!$T$3&amp;"$O$54"),8,)</f>
        <v>0.84</v>
      </c>
      <c r="AO34" s="1">
        <f ca="1">VLOOKUP(A34,INDIRECT('LOCCS Import'!$S$3&amp;"$A$3"):INDIRECT('LOCCS Import'!$S$3&amp;"$O$54"),8,)</f>
        <v>0.88</v>
      </c>
      <c r="AP34" s="1">
        <f ca="1">VLOOKUP(A34,INDIRECT('LOCCS Import'!$R$3&amp;"$A$3"):INDIRECT('LOCCS Import'!$R$3&amp;"$O$54"),8,)</f>
        <v>0.94</v>
      </c>
      <c r="AQ34" s="1">
        <f ca="1">VLOOKUP(A34,INDIRECT('LOCCS Import'!$Q$3&amp;"$A$3"):INDIRECT('LOCCS Import'!$Q$3&amp;"$O$54"),8,)</f>
        <v>0.95</v>
      </c>
      <c r="AR34" s="1">
        <f ca="1">VLOOKUP(A34,INDIRECT('LOCCS Import'!$P$3&amp;"$A$3"):INDIRECT('LOCCS Import'!$P$3&amp;"$O$54"),8,)</f>
        <v>0.96</v>
      </c>
      <c r="AS34" s="1">
        <f ca="1">VLOOKUP(A34,INDIRECT('LOCCS Import'!$O$3&amp;"$A$3"):INDIRECT('LOCCS Import'!$O$3&amp;"$O$54"),8,)</f>
        <v>0.97</v>
      </c>
      <c r="AT34" s="1">
        <f ca="1">VLOOKUP(A34,INDIRECT('LOCCS Import'!$N$3&amp;"$A$3"):INDIRECT('LOCCS Import'!$N$3&amp;"$O$54"),8,)</f>
        <v>0.98</v>
      </c>
      <c r="AU34" s="1">
        <f ca="1">VLOOKUP(A34,INDIRECT('LOCCS Import'!$M$3&amp;"$A$3"):INDIRECT('LOCCS Import'!$M$3&amp;"$O$54"),8,)</f>
        <v>0.99</v>
      </c>
      <c r="AV34" s="1">
        <f ca="1">VLOOKUP(A34,INDIRECT('LOCCS Import'!$L$3&amp;"$A$3"):INDIRECT('LOCCS Import'!$L$3&amp;"$O$54"),8,)</f>
        <v>0.93</v>
      </c>
      <c r="AW34" s="1">
        <f ca="1">VLOOKUP(A34,INDIRECT('LOCCS Import'!$K$3&amp;"$A$3"):INDIRECT('LOCCS Import'!$K$3&amp;"$O$54"),8,)</f>
        <v>0.9</v>
      </c>
      <c r="AX34" s="1">
        <f ca="1">VLOOKUP(A34,INDIRECT('LOCCS Import'!$J$3&amp;"$A$3"):INDIRECT('LOCCS Import'!$J$3&amp;"$O$54"),8,)</f>
        <v>0.89</v>
      </c>
      <c r="AY34" s="1">
        <f ca="1">VLOOKUP(A34,INDIRECT('LOCCS Import'!$I$3&amp;"$A$3"):INDIRECT('LOCCS Import'!$I$3&amp;"$O$54"),8,)</f>
        <v>0.94</v>
      </c>
      <c r="AZ34" s="1">
        <f ca="1">VLOOKUP(A34,INDIRECT('LOCCS Import'!$H$3&amp;"$A$3"):INDIRECT('LOCCS Import'!$H$3&amp;"$O$54"),8,)</f>
        <v>0.95</v>
      </c>
      <c r="BA34" s="1">
        <f ca="1">VLOOKUP(A34,INDIRECT('LOCCS Import'!$G$3&amp;"$A$3"):INDIRECT('LOCCS Import'!$G$3&amp;"$O$54"),8,)</f>
        <v>0.96</v>
      </c>
      <c r="BB34" s="1">
        <f ca="1">VLOOKUP(A34,INDIRECT('LOCCS Import'!$F$3&amp;"$A$3"):INDIRECT('LOCCS Import'!$F$3&amp;"$O$54"),8,)</f>
        <v>0.99</v>
      </c>
      <c r="BC34" s="1">
        <f ca="1">VLOOKUP(A34,INDIRECT('LOCCS Import'!$E$3&amp;"$A$3"):INDIRECT('LOCCS Import'!$E$3&amp;"$O$54"),8,)</f>
        <v>0.93</v>
      </c>
      <c r="BD34" s="2">
        <f>VLOOKUP(A34,template!$A$3:$P$54,8,)</f>
        <v>0.89</v>
      </c>
      <c r="BE34" s="2">
        <f t="shared" ca="1" si="4"/>
        <v>0.94333333333333336</v>
      </c>
      <c r="BF34" s="115">
        <f t="shared" ca="1" si="5"/>
        <v>20</v>
      </c>
    </row>
    <row r="35" spans="1:58" x14ac:dyDescent="0.3">
      <c r="A35" s="67" t="s">
        <v>47</v>
      </c>
      <c r="B35" s="64" t="s">
        <v>72</v>
      </c>
      <c r="C35" s="64" t="s">
        <v>113</v>
      </c>
      <c r="D35" s="60">
        <f ca="1">VLOOKUP(A35,INDIRECT('LOCCS Import'!$AA$3&amp;"$A$3"):INDIRECT('LOCCS Import'!$AA$3&amp;"$O$54"),7,)</f>
        <v>4.46</v>
      </c>
      <c r="E35" s="60">
        <f ca="1">VLOOKUP(A35,INDIRECT('LOCCS Import'!$Z$3&amp;"$A$3"):INDIRECT('LOCCS Import'!$Z$3&amp;"$O$54"),7,)</f>
        <v>4.46</v>
      </c>
      <c r="F35" s="60">
        <f ca="1">VLOOKUP(A35,INDIRECT('LOCCS Import'!$Y$3&amp;"$A$3"):INDIRECT('LOCCS Import'!$Y$3&amp;"$O$54"),7,)</f>
        <v>4.3</v>
      </c>
      <c r="G35" s="60">
        <f ca="1">VLOOKUP(A35,INDIRECT('LOCCS Import'!$X$3&amp;"$A$3"):INDIRECT('LOCCS Import'!$X$3&amp;"$O$54"),7,)</f>
        <v>4.1900000000000004</v>
      </c>
      <c r="H35" s="60">
        <f ca="1">VLOOKUP(A35,INDIRECT('LOCCS Import'!$W$3&amp;"$A$3"):INDIRECT('LOCCS Import'!$W$3&amp;"$O$54"),7,)</f>
        <v>4.05</v>
      </c>
      <c r="I35" s="60">
        <f ca="1">VLOOKUP(A35,INDIRECT('LOCCS Import'!$V$3&amp;"$A$3"):INDIRECT('LOCCS Import'!$V$3&amp;"$O$54"),7,)</f>
        <v>4.05</v>
      </c>
      <c r="J35" s="60">
        <f ca="1">VLOOKUP(A35,INDIRECT('LOCCS Import'!$U$3&amp;"$A$3"):INDIRECT('LOCCS Import'!$U$3&amp;"$O$54"),7,)</f>
        <v>4.05</v>
      </c>
      <c r="K35" s="60">
        <f ca="1">VLOOKUP(A35,INDIRECT('LOCCS Import'!$T$3&amp;"$A$3"):INDIRECT('LOCCS Import'!$T$3&amp;"$O$54"),7,)</f>
        <v>3.95</v>
      </c>
      <c r="L35" s="60">
        <f ca="1">VLOOKUP(A35,INDIRECT('LOCCS Import'!$S$3&amp;"$A$3"):INDIRECT('LOCCS Import'!$S$3&amp;"$O$54"),7,)</f>
        <v>3.89</v>
      </c>
      <c r="M35" s="60">
        <f ca="1">VLOOKUP(A35,INDIRECT('LOCCS Import'!$R$3&amp;"$A$3"):INDIRECT('LOCCS Import'!$R$3&amp;"$O$54"),7,)</f>
        <v>3.88</v>
      </c>
      <c r="N35" s="60">
        <f ca="1">VLOOKUP(A35,INDIRECT('LOCCS Import'!$Q$3&amp;"$A$3"):INDIRECT('LOCCS Import'!$Q$3&amp;"$O$54"),7,)</f>
        <v>3.88</v>
      </c>
      <c r="O35" s="60">
        <f ca="1">VLOOKUP(A35,INDIRECT('LOCCS Import'!$P$3&amp;"$A$3"):INDIRECT('LOCCS Import'!$P$3&amp;"$O$54"),7,)</f>
        <v>4.79</v>
      </c>
      <c r="P35" s="60">
        <f ca="1">VLOOKUP(A35,INDIRECT('LOCCS Import'!$O$3&amp;"$A$3"):INDIRECT('LOCCS Import'!$O$3&amp;"$O$54"),7,)</f>
        <v>4.4400000000000004</v>
      </c>
      <c r="Q35" s="60">
        <f ca="1">VLOOKUP(A35,INDIRECT('LOCCS Import'!$N$3&amp;"$A$3"):INDIRECT('LOCCS Import'!$N$3&amp;"$O$54"),7,)</f>
        <v>4.4400000000000004</v>
      </c>
      <c r="R35" s="60">
        <f ca="1">VLOOKUP(A35,INDIRECT('LOCCS Import'!$M$3&amp;"$A$3"):INDIRECT('LOCCS Import'!$M$3&amp;"$O$54"),7,)</f>
        <v>4.3</v>
      </c>
      <c r="S35" s="60">
        <f ca="1">VLOOKUP(A35,INDIRECT('LOCCS Import'!$L$3&amp;"$A$3"):INDIRECT('LOCCS Import'!$L$3&amp;"$O$54"),7,)</f>
        <v>4.3</v>
      </c>
      <c r="T35" s="60">
        <f ca="1">VLOOKUP(A35,INDIRECT('LOCCS Import'!$K$3&amp;"$A$3"):INDIRECT('LOCCS Import'!$K$3&amp;"$O$54"),7,)</f>
        <v>3.42</v>
      </c>
      <c r="U35" s="60">
        <f ca="1">VLOOKUP(A35,INDIRECT('LOCCS Import'!$J$3&amp;"$A$3"):INDIRECT('LOCCS Import'!$J$3&amp;"$O$54"),7,)</f>
        <v>3.35</v>
      </c>
      <c r="V35" s="60">
        <f ca="1">VLOOKUP(A35,INDIRECT('LOCCS Import'!$I$3&amp;"$A$3"):INDIRECT('LOCCS Import'!$I$3&amp;"$O$54"),7,)</f>
        <v>3.21</v>
      </c>
      <c r="W35" s="60">
        <f ca="1">VLOOKUP(A35,INDIRECT('LOCCS Import'!$H$3&amp;"$A$3"):INDIRECT('LOCCS Import'!$H$3&amp;"$O$54"),7,)</f>
        <v>3.21</v>
      </c>
      <c r="X35" s="60">
        <f ca="1">VLOOKUP(A35,INDIRECT('LOCCS Import'!$G$3&amp;"$A$3"):INDIRECT('LOCCS Import'!$G$3&amp;"$O$54"),7,)</f>
        <v>3.02</v>
      </c>
      <c r="Y35" s="60">
        <f ca="1">VLOOKUP(A35,INDIRECT('LOCCS Import'!$F$3&amp;"$A$3"):INDIRECT('LOCCS Import'!$F$3&amp;"$O$54"),7,)</f>
        <v>2.88</v>
      </c>
      <c r="Z35" s="60">
        <f ca="1">VLOOKUP(A35,INDIRECT('LOCCS Import'!$E$3&amp;"$A$3"):INDIRECT('LOCCS Import'!$E$3&amp;"$O$54"),7,)</f>
        <v>2.85</v>
      </c>
      <c r="AA35" s="60">
        <f>VLOOKUP(A35,template!$A$3:$P$54,7,)</f>
        <v>3.85</v>
      </c>
      <c r="AB35" s="58">
        <f t="shared" ref="AB35:AB53" ca="1" si="6">MAX(P35:AA35)</f>
        <v>4.4400000000000004</v>
      </c>
      <c r="AC35" s="60">
        <f t="shared" ref="AC35:AC53" ca="1" si="7">MIN(P35:AA35)</f>
        <v>2.85</v>
      </c>
      <c r="AD35" s="61">
        <f t="shared" ref="AD35:AD53" ca="1" si="8">AVERAGE(P35:AA35)</f>
        <v>3.6058333333333343</v>
      </c>
      <c r="AE35" s="84">
        <f t="shared" ref="AE35:AE52" ca="1" si="9">RANK(AD35,AD$3:AD$52,1)</f>
        <v>36</v>
      </c>
      <c r="AF35" s="138"/>
      <c r="AG35" s="3">
        <f ca="1">VLOOKUP(A35,INDIRECT('LOCCS Import'!$AA$3&amp;"$A$3"):INDIRECT('LOCCS Import'!$AA$3&amp;"$O$54"),8,)</f>
        <v>0.66</v>
      </c>
      <c r="AH35" s="1">
        <f ca="1">VLOOKUP(A35,INDIRECT('LOCCS Import'!$Z$3&amp;"$A$3"):INDIRECT('LOCCS Import'!$Z$3&amp;"$O$54"),8,)</f>
        <v>0.74</v>
      </c>
      <c r="AI35" s="1">
        <f ca="1">VLOOKUP(A35,INDIRECT('LOCCS Import'!$Y$3&amp;"$A$3"):INDIRECT('LOCCS Import'!$Y$3&amp;"$O$54"),8,)</f>
        <v>0.67</v>
      </c>
      <c r="AJ35" s="1">
        <f ca="1">VLOOKUP(A35,INDIRECT('LOCCS Import'!$X$3&amp;"$A$3"):INDIRECT('LOCCS Import'!$X$3&amp;"$O$54"),8,)</f>
        <v>0.75</v>
      </c>
      <c r="AK35" s="1">
        <f ca="1">VLOOKUP(A35,INDIRECT('LOCCS Import'!$W$3&amp;"$A$3"):INDIRECT('LOCCS Import'!$W$3&amp;"$O$54"),8,)</f>
        <v>0.83</v>
      </c>
      <c r="AL35" s="1">
        <f ca="1">VLOOKUP(A35,INDIRECT('LOCCS Import'!$V$3&amp;"$A$3"):INDIRECT('LOCCS Import'!$V$3&amp;"$O$54"),8,)</f>
        <v>0.83</v>
      </c>
      <c r="AM35" s="1">
        <f ca="1">VLOOKUP(A35,INDIRECT('LOCCS Import'!$U$3&amp;"$A$3"):INDIRECT('LOCCS Import'!$U$3&amp;"$O$54"),8,)</f>
        <v>0.83</v>
      </c>
      <c r="AN35" s="1">
        <f ca="1">VLOOKUP(A35,INDIRECT('LOCCS Import'!$T$3&amp;"$A$3"):INDIRECT('LOCCS Import'!$T$3&amp;"$O$54"),8,)</f>
        <v>0.74</v>
      </c>
      <c r="AO35" s="1">
        <f ca="1">VLOOKUP(A35,INDIRECT('LOCCS Import'!$S$3&amp;"$A$3"):INDIRECT('LOCCS Import'!$S$3&amp;"$O$54"),8,)</f>
        <v>0.76</v>
      </c>
      <c r="AP35" s="1">
        <f ca="1">VLOOKUP(A35,INDIRECT('LOCCS Import'!$R$3&amp;"$A$3"):INDIRECT('LOCCS Import'!$R$3&amp;"$O$54"),8,)</f>
        <v>0.69</v>
      </c>
      <c r="AQ35" s="1">
        <f ca="1">VLOOKUP(A35,INDIRECT('LOCCS Import'!$Q$3&amp;"$A$3"):INDIRECT('LOCCS Import'!$Q$3&amp;"$O$54"),8,)</f>
        <v>0.67</v>
      </c>
      <c r="AR35" s="1">
        <f ca="1">VLOOKUP(A35,INDIRECT('LOCCS Import'!$P$3&amp;"$A$3"):INDIRECT('LOCCS Import'!$P$3&amp;"$O$54"),8,)</f>
        <v>0.71</v>
      </c>
      <c r="AS35" s="1">
        <f ca="1">VLOOKUP(A35,INDIRECT('LOCCS Import'!$O$3&amp;"$A$3"):INDIRECT('LOCCS Import'!$O$3&amp;"$O$54"),8,)</f>
        <v>0.97</v>
      </c>
      <c r="AT35" s="1">
        <f ca="1">VLOOKUP(A35,INDIRECT('LOCCS Import'!$N$3&amp;"$A$3"):INDIRECT('LOCCS Import'!$N$3&amp;"$O$54"),8,)</f>
        <v>0.97</v>
      </c>
      <c r="AU35" s="1">
        <f ca="1">VLOOKUP(A35,INDIRECT('LOCCS Import'!$M$3&amp;"$A$3"):INDIRECT('LOCCS Import'!$M$3&amp;"$O$54"),8,)</f>
        <v>0.95</v>
      </c>
      <c r="AV35" s="1">
        <f ca="1">VLOOKUP(A35,INDIRECT('LOCCS Import'!$L$3&amp;"$A$3"):INDIRECT('LOCCS Import'!$L$3&amp;"$O$54"),8,)</f>
        <v>0.85</v>
      </c>
      <c r="AW35" s="1">
        <f ca="1">VLOOKUP(A35,INDIRECT('LOCCS Import'!$K$3&amp;"$A$3"):INDIRECT('LOCCS Import'!$K$3&amp;"$O$54"),8,)</f>
        <v>1.59</v>
      </c>
      <c r="AX35" s="1">
        <f ca="1">VLOOKUP(A35,INDIRECT('LOCCS Import'!$J$3&amp;"$A$3"):INDIRECT('LOCCS Import'!$J$3&amp;"$O$54"),8,)</f>
        <v>1.66</v>
      </c>
      <c r="AY35" s="1">
        <f ca="1">VLOOKUP(A35,INDIRECT('LOCCS Import'!$I$3&amp;"$A$3"):INDIRECT('LOCCS Import'!$I$3&amp;"$O$54"),8,)</f>
        <v>1.63</v>
      </c>
      <c r="AZ35" s="1">
        <f ca="1">VLOOKUP(A35,INDIRECT('LOCCS Import'!$H$3&amp;"$A$3"):INDIRECT('LOCCS Import'!$H$3&amp;"$O$54"),8,)</f>
        <v>1.7</v>
      </c>
      <c r="BA35" s="1">
        <f ca="1">VLOOKUP(A35,INDIRECT('LOCCS Import'!$G$3&amp;"$A$3"):INDIRECT('LOCCS Import'!$G$3&amp;"$O$54"),8,)</f>
        <v>1.83</v>
      </c>
      <c r="BB35" s="1">
        <f ca="1">VLOOKUP(A35,INDIRECT('LOCCS Import'!$F$3&amp;"$A$3"):INDIRECT('LOCCS Import'!$F$3&amp;"$O$54"),8,)</f>
        <v>1.96</v>
      </c>
      <c r="BC35" s="1">
        <f ca="1">VLOOKUP(A35,INDIRECT('LOCCS Import'!$E$3&amp;"$A$3"):INDIRECT('LOCCS Import'!$E$3&amp;"$O$54"),8,)</f>
        <v>1.99</v>
      </c>
      <c r="BD35" s="2">
        <f>VLOOKUP(A35,template!$A$3:$P$54,8,)</f>
        <v>1.94</v>
      </c>
      <c r="BE35" s="2">
        <f t="shared" ref="BE35:BE53" ca="1" si="10">AVERAGE(AS35:BD35)</f>
        <v>1.5033333333333332</v>
      </c>
      <c r="BF35" s="115">
        <f t="shared" ca="1" si="5"/>
        <v>3</v>
      </c>
    </row>
    <row r="36" spans="1:58" x14ac:dyDescent="0.3">
      <c r="A36" s="67" t="s">
        <v>48</v>
      </c>
      <c r="B36" s="64" t="s">
        <v>73</v>
      </c>
      <c r="C36" s="64" t="s">
        <v>114</v>
      </c>
      <c r="D36" s="58">
        <f ca="1">VLOOKUP(A36,INDIRECT('LOCCS Import'!$AA$3&amp;"$A$3"):INDIRECT('LOCCS Import'!$AA$3&amp;"$O$54"),7,)</f>
        <v>2.36</v>
      </c>
      <c r="E36" s="60">
        <f ca="1">VLOOKUP(A36,INDIRECT('LOCCS Import'!$Z$3&amp;"$A$3"):INDIRECT('LOCCS Import'!$Z$3&amp;"$O$54"),7,)</f>
        <v>2.2999999999999998</v>
      </c>
      <c r="F36" s="60">
        <f ca="1">VLOOKUP(A36,INDIRECT('LOCCS Import'!$Y$3&amp;"$A$3"):INDIRECT('LOCCS Import'!$Y$3&amp;"$O$54"),7,)</f>
        <v>2.2000000000000002</v>
      </c>
      <c r="G36" s="60">
        <f ca="1">VLOOKUP(A36,INDIRECT('LOCCS Import'!$X$3&amp;"$A$3"):INDIRECT('LOCCS Import'!$X$3&amp;"$O$54"),7,)</f>
        <v>2.16</v>
      </c>
      <c r="H36" s="60">
        <f ca="1">VLOOKUP(A36,INDIRECT('LOCCS Import'!$W$3&amp;"$A$3"):INDIRECT('LOCCS Import'!$W$3&amp;"$O$54"),7,)</f>
        <v>2.08</v>
      </c>
      <c r="I36" s="60">
        <f ca="1">VLOOKUP(A36,INDIRECT('LOCCS Import'!$V$3&amp;"$A$3"):INDIRECT('LOCCS Import'!$V$3&amp;"$O$54"),7,)</f>
        <v>2.02</v>
      </c>
      <c r="J36" s="60">
        <f ca="1">VLOOKUP(A36,INDIRECT('LOCCS Import'!$U$3&amp;"$A$3"):INDIRECT('LOCCS Import'!$U$3&amp;"$O$54"),7,)</f>
        <v>2.02</v>
      </c>
      <c r="K36" s="60">
        <f ca="1">VLOOKUP(A36,INDIRECT('LOCCS Import'!$T$3&amp;"$A$3"):INDIRECT('LOCCS Import'!$T$3&amp;"$O$54"),7,)</f>
        <v>1.9</v>
      </c>
      <c r="L36" s="60">
        <f ca="1">VLOOKUP(A36,INDIRECT('LOCCS Import'!$S$3&amp;"$A$3"):INDIRECT('LOCCS Import'!$S$3&amp;"$O$54"),7,)</f>
        <v>1.86</v>
      </c>
      <c r="M36" s="60">
        <f ca="1">VLOOKUP(A36,INDIRECT('LOCCS Import'!$R$3&amp;"$A$3"):INDIRECT('LOCCS Import'!$R$3&amp;"$O$54"),7,)</f>
        <v>1.75</v>
      </c>
      <c r="N36" s="60">
        <f ca="1">VLOOKUP(A36,INDIRECT('LOCCS Import'!$Q$3&amp;"$A$3"):INDIRECT('LOCCS Import'!$Q$3&amp;"$O$54"),7,)</f>
        <v>1.63</v>
      </c>
      <c r="O36" s="60">
        <f ca="1">VLOOKUP(A36,INDIRECT('LOCCS Import'!$P$3&amp;"$A$3"):INDIRECT('LOCCS Import'!$P$3&amp;"$O$54"),7,)</f>
        <v>2.5299999999999998</v>
      </c>
      <c r="P36" s="60">
        <f ca="1">VLOOKUP(A36,INDIRECT('LOCCS Import'!$O$3&amp;"$A$3"):INDIRECT('LOCCS Import'!$O$3&amp;"$O$54"),7,)</f>
        <v>2.42</v>
      </c>
      <c r="Q36" s="60">
        <f ca="1">VLOOKUP(A36,INDIRECT('LOCCS Import'!$N$3&amp;"$A$3"):INDIRECT('LOCCS Import'!$N$3&amp;"$O$54"),7,)</f>
        <v>2.3199999999999998</v>
      </c>
      <c r="R36" s="60">
        <f ca="1">VLOOKUP(A36,INDIRECT('LOCCS Import'!$M$3&amp;"$A$3"):INDIRECT('LOCCS Import'!$M$3&amp;"$O$54"),7,)</f>
        <v>2.2400000000000002</v>
      </c>
      <c r="S36" s="60">
        <f ca="1">VLOOKUP(A36,INDIRECT('LOCCS Import'!$L$3&amp;"$A$3"):INDIRECT('LOCCS Import'!$L$3&amp;"$O$54"),7,)</f>
        <v>2.21</v>
      </c>
      <c r="T36" s="60">
        <f ca="1">VLOOKUP(A36,INDIRECT('LOCCS Import'!$K$3&amp;"$A$3"):INDIRECT('LOCCS Import'!$K$3&amp;"$O$54"),7,)</f>
        <v>2.13</v>
      </c>
      <c r="U36" s="60">
        <f ca="1">VLOOKUP(A36,INDIRECT('LOCCS Import'!$J$3&amp;"$A$3"):INDIRECT('LOCCS Import'!$J$3&amp;"$O$54"),7,)</f>
        <v>2.06</v>
      </c>
      <c r="V36" s="60">
        <f ca="1">VLOOKUP(A36,INDIRECT('LOCCS Import'!$I$3&amp;"$A$3"):INDIRECT('LOCCS Import'!$I$3&amp;"$O$54"),7,)</f>
        <v>2</v>
      </c>
      <c r="W36" s="60">
        <f ca="1">VLOOKUP(A36,INDIRECT('LOCCS Import'!$H$3&amp;"$A$3"):INDIRECT('LOCCS Import'!$H$3&amp;"$O$54"),7,)</f>
        <v>1.89</v>
      </c>
      <c r="X36" s="60">
        <f ca="1">VLOOKUP(A36,INDIRECT('LOCCS Import'!$G$3&amp;"$A$3"):INDIRECT('LOCCS Import'!$G$3&amp;"$O$54"),7,)</f>
        <v>1.85</v>
      </c>
      <c r="Y36" s="60">
        <f ca="1">VLOOKUP(A36,INDIRECT('LOCCS Import'!$F$3&amp;"$A$3"):INDIRECT('LOCCS Import'!$F$3&amp;"$O$54"),7,)</f>
        <v>1.76</v>
      </c>
      <c r="Z36" s="60">
        <f ca="1">VLOOKUP(A36,INDIRECT('LOCCS Import'!$E$3&amp;"$A$3"):INDIRECT('LOCCS Import'!$E$3&amp;"$O$54"),7,)</f>
        <v>1.71</v>
      </c>
      <c r="AA36" s="60">
        <f>VLOOKUP(A36,template!$A$3:$P$54,7,)</f>
        <v>1.6</v>
      </c>
      <c r="AB36" s="58">
        <f t="shared" ca="1" si="6"/>
        <v>2.42</v>
      </c>
      <c r="AC36" s="60">
        <f t="shared" ca="1" si="7"/>
        <v>1.6</v>
      </c>
      <c r="AD36" s="61">
        <f t="shared" ca="1" si="8"/>
        <v>2.0158333333333336</v>
      </c>
      <c r="AE36" s="84">
        <f t="shared" ca="1" si="9"/>
        <v>7</v>
      </c>
      <c r="AF36" s="138"/>
      <c r="AG36" s="3">
        <f ca="1">VLOOKUP(A36,INDIRECT('LOCCS Import'!$AA$3&amp;"$A$3"):INDIRECT('LOCCS Import'!$AA$3&amp;"$O$54"),8,)</f>
        <v>0.97</v>
      </c>
      <c r="AH36" s="1">
        <f ca="1">VLOOKUP(A36,INDIRECT('LOCCS Import'!$Z$3&amp;"$A$3"):INDIRECT('LOCCS Import'!$Z$3&amp;"$O$54"),8,)</f>
        <v>0.92</v>
      </c>
      <c r="AI36" s="1">
        <f ca="1">VLOOKUP(A36,INDIRECT('LOCCS Import'!$Y$3&amp;"$A$3"):INDIRECT('LOCCS Import'!$Y$3&amp;"$O$54"),8,)</f>
        <v>0.89</v>
      </c>
      <c r="AJ36" s="1">
        <f ca="1">VLOOKUP(A36,INDIRECT('LOCCS Import'!$X$3&amp;"$A$3"):INDIRECT('LOCCS Import'!$X$3&amp;"$O$54"),8,)</f>
        <v>0.9</v>
      </c>
      <c r="AK36" s="1">
        <f ca="1">VLOOKUP(A36,INDIRECT('LOCCS Import'!$W$3&amp;"$A$3"):INDIRECT('LOCCS Import'!$W$3&amp;"$O$54"),8,)</f>
        <v>0.9</v>
      </c>
      <c r="AL36" s="1">
        <f ca="1">VLOOKUP(A36,INDIRECT('LOCCS Import'!$V$3&amp;"$A$3"):INDIRECT('LOCCS Import'!$V$3&amp;"$O$54"),8,)</f>
        <v>0.9</v>
      </c>
      <c r="AM36" s="1">
        <f ca="1">VLOOKUP(A36,INDIRECT('LOCCS Import'!$U$3&amp;"$A$3"):INDIRECT('LOCCS Import'!$U$3&amp;"$O$54"),8,)</f>
        <v>0.9</v>
      </c>
      <c r="AN36" s="1">
        <f ca="1">VLOOKUP(A36,INDIRECT('LOCCS Import'!$T$3&amp;"$A$3"):INDIRECT('LOCCS Import'!$T$3&amp;"$O$54"),8,)</f>
        <v>0.9</v>
      </c>
      <c r="AO36" s="1">
        <f ca="1">VLOOKUP(A36,INDIRECT('LOCCS Import'!$S$3&amp;"$A$3"):INDIRECT('LOCCS Import'!$S$3&amp;"$O$54"),8,)</f>
        <v>0.91</v>
      </c>
      <c r="AP36" s="1">
        <f ca="1">VLOOKUP(A36,INDIRECT('LOCCS Import'!$R$3&amp;"$A$3"):INDIRECT('LOCCS Import'!$R$3&amp;"$O$54"),8,)</f>
        <v>0.95</v>
      </c>
      <c r="AQ36" s="1">
        <f ca="1">VLOOKUP(A36,INDIRECT('LOCCS Import'!$Q$3&amp;"$A$3"):INDIRECT('LOCCS Import'!$Q$3&amp;"$O$54"),8,)</f>
        <v>0.9</v>
      </c>
      <c r="AR36" s="1">
        <f ca="1">VLOOKUP(A36,INDIRECT('LOCCS Import'!$P$3&amp;"$A$3"):INDIRECT('LOCCS Import'!$P$3&amp;"$O$54"),8,)</f>
        <v>0.9</v>
      </c>
      <c r="AS36" s="1">
        <f ca="1">VLOOKUP(A36,INDIRECT('LOCCS Import'!$O$3&amp;"$A$3"):INDIRECT('LOCCS Import'!$O$3&amp;"$O$54"),8,)</f>
        <v>0.91</v>
      </c>
      <c r="AT36" s="1">
        <f ca="1">VLOOKUP(A36,INDIRECT('LOCCS Import'!$N$3&amp;"$A$3"):INDIRECT('LOCCS Import'!$N$3&amp;"$O$54"),8,)</f>
        <v>0.97</v>
      </c>
      <c r="AU36" s="1">
        <f ca="1">VLOOKUP(A36,INDIRECT('LOCCS Import'!$M$3&amp;"$A$3"):INDIRECT('LOCCS Import'!$M$3&amp;"$O$54"),8,)</f>
        <v>0.95</v>
      </c>
      <c r="AV36" s="1">
        <f ca="1">VLOOKUP(A36,INDIRECT('LOCCS Import'!$L$3&amp;"$A$3"):INDIRECT('LOCCS Import'!$L$3&amp;"$O$54"),8,)</f>
        <v>0.94</v>
      </c>
      <c r="AW36" s="1">
        <f ca="1">VLOOKUP(A36,INDIRECT('LOCCS Import'!$K$3&amp;"$A$3"):INDIRECT('LOCCS Import'!$K$3&amp;"$O$54"),8,)</f>
        <v>0.93</v>
      </c>
      <c r="AX36" s="1">
        <f ca="1">VLOOKUP(A36,INDIRECT('LOCCS Import'!$J$3&amp;"$A$3"):INDIRECT('LOCCS Import'!$J$3&amp;"$O$54"),8,)</f>
        <v>0.95</v>
      </c>
      <c r="AY36" s="1">
        <f ca="1">VLOOKUP(A36,INDIRECT('LOCCS Import'!$I$3&amp;"$A$3"):INDIRECT('LOCCS Import'!$I$3&amp;"$O$54"),8,)</f>
        <v>0.94</v>
      </c>
      <c r="AZ36" s="1">
        <f ca="1">VLOOKUP(A36,INDIRECT('LOCCS Import'!$H$3&amp;"$A$3"):INDIRECT('LOCCS Import'!$H$3&amp;"$O$54"),8,)</f>
        <v>0.95</v>
      </c>
      <c r="BA36" s="1">
        <f ca="1">VLOOKUP(A36,INDIRECT('LOCCS Import'!$G$3&amp;"$A$3"):INDIRECT('LOCCS Import'!$G$3&amp;"$O$54"),8,)</f>
        <v>1</v>
      </c>
      <c r="BB36" s="1">
        <f ca="1">VLOOKUP(A36,INDIRECT('LOCCS Import'!$F$3&amp;"$A$3"):INDIRECT('LOCCS Import'!$F$3&amp;"$O$54"),8,)</f>
        <v>0.94</v>
      </c>
      <c r="BC36" s="1">
        <f ca="1">VLOOKUP(A36,INDIRECT('LOCCS Import'!$E$3&amp;"$A$3"):INDIRECT('LOCCS Import'!$E$3&amp;"$O$54"),8,)</f>
        <v>0.91</v>
      </c>
      <c r="BD36" s="2">
        <f>VLOOKUP(A36,template!$A$3:$P$54,8,)</f>
        <v>0.92</v>
      </c>
      <c r="BE36" s="2">
        <f t="shared" ca="1" si="10"/>
        <v>0.94249999999999989</v>
      </c>
      <c r="BF36" s="115">
        <f t="shared" ca="1" si="5"/>
        <v>21</v>
      </c>
    </row>
    <row r="37" spans="1:58" x14ac:dyDescent="0.3">
      <c r="A37" s="67" t="s">
        <v>49</v>
      </c>
      <c r="B37" s="64" t="s">
        <v>72</v>
      </c>
      <c r="C37" s="64" t="s">
        <v>115</v>
      </c>
      <c r="D37" s="58">
        <f ca="1">VLOOKUP(A37,INDIRECT('LOCCS Import'!$AA$3&amp;"$A$3"):INDIRECT('LOCCS Import'!$AA$3&amp;"$O$54"),7,)</f>
        <v>2.4700000000000002</v>
      </c>
      <c r="E37" s="60">
        <f ca="1">VLOOKUP(A37,INDIRECT('LOCCS Import'!$Z$3&amp;"$A$3"):INDIRECT('LOCCS Import'!$Z$3&amp;"$O$54"),7,)</f>
        <v>2.42</v>
      </c>
      <c r="F37" s="60">
        <f ca="1">VLOOKUP(A37,INDIRECT('LOCCS Import'!$Y$3&amp;"$A$3"):INDIRECT('LOCCS Import'!$Y$3&amp;"$O$54"),7,)</f>
        <v>2.31</v>
      </c>
      <c r="G37" s="60">
        <f ca="1">VLOOKUP(A37,INDIRECT('LOCCS Import'!$X$3&amp;"$A$3"):INDIRECT('LOCCS Import'!$X$3&amp;"$O$54"),7,)</f>
        <v>2.2000000000000002</v>
      </c>
      <c r="H37" s="60">
        <f ca="1">VLOOKUP(A37,INDIRECT('LOCCS Import'!$W$3&amp;"$A$3"):INDIRECT('LOCCS Import'!$W$3&amp;"$O$54"),7,)</f>
        <v>2.09</v>
      </c>
      <c r="I37" s="60">
        <f ca="1">VLOOKUP(A37,INDIRECT('LOCCS Import'!$V$3&amp;"$A$3"):INDIRECT('LOCCS Import'!$V$3&amp;"$O$54"),7,)</f>
        <v>2.04</v>
      </c>
      <c r="J37" s="60">
        <f ca="1">VLOOKUP(A37,INDIRECT('LOCCS Import'!$U$3&amp;"$A$3"):INDIRECT('LOCCS Import'!$U$3&amp;"$O$54"),7,)</f>
        <v>2.04</v>
      </c>
      <c r="K37" s="60">
        <f ca="1">VLOOKUP(A37,INDIRECT('LOCCS Import'!$T$3&amp;"$A$3"):INDIRECT('LOCCS Import'!$T$3&amp;"$O$54"),7,)</f>
        <v>1.93</v>
      </c>
      <c r="L37" s="60">
        <f ca="1">VLOOKUP(A37,INDIRECT('LOCCS Import'!$S$3&amp;"$A$3"):INDIRECT('LOCCS Import'!$S$3&amp;"$O$54"),7,)</f>
        <v>1.84</v>
      </c>
      <c r="M37" s="60">
        <f ca="1">VLOOKUP(A37,INDIRECT('LOCCS Import'!$R$3&amp;"$A$3"):INDIRECT('LOCCS Import'!$R$3&amp;"$O$54"),7,)</f>
        <v>1.73</v>
      </c>
      <c r="N37" s="60">
        <f ca="1">VLOOKUP(A37,INDIRECT('LOCCS Import'!$Q$3&amp;"$A$3"):INDIRECT('LOCCS Import'!$Q$3&amp;"$O$54"),7,)</f>
        <v>1.64</v>
      </c>
      <c r="O37" s="60">
        <f ca="1">VLOOKUP(A37,INDIRECT('LOCCS Import'!$P$3&amp;"$A$3"):INDIRECT('LOCCS Import'!$P$3&amp;"$O$54"),7,)</f>
        <v>2.5499999999999998</v>
      </c>
      <c r="P37" s="60">
        <f ca="1">VLOOKUP(A37,INDIRECT('LOCCS Import'!$O$3&amp;"$A$3"):INDIRECT('LOCCS Import'!$O$3&amp;"$O$54"),7,)</f>
        <v>2.48</v>
      </c>
      <c r="Q37" s="60">
        <f ca="1">VLOOKUP(A37,INDIRECT('LOCCS Import'!$N$3&amp;"$A$3"):INDIRECT('LOCCS Import'!$N$3&amp;"$O$54"),7,)</f>
        <v>2.44</v>
      </c>
      <c r="R37" s="60">
        <f ca="1">VLOOKUP(A37,INDIRECT('LOCCS Import'!$M$3&amp;"$A$3"):INDIRECT('LOCCS Import'!$M$3&amp;"$O$54"),7,)</f>
        <v>2.33</v>
      </c>
      <c r="S37" s="60">
        <f ca="1">VLOOKUP(A37,INDIRECT('LOCCS Import'!$L$3&amp;"$A$3"):INDIRECT('LOCCS Import'!$L$3&amp;"$O$54"),7,)</f>
        <v>2.2999999999999998</v>
      </c>
      <c r="T37" s="60">
        <f ca="1">VLOOKUP(A37,INDIRECT('LOCCS Import'!$K$3&amp;"$A$3"):INDIRECT('LOCCS Import'!$K$3&amp;"$O$54"),7,)</f>
        <v>2.17</v>
      </c>
      <c r="U37" s="60">
        <f ca="1">VLOOKUP(A37,INDIRECT('LOCCS Import'!$J$3&amp;"$A$3"):INDIRECT('LOCCS Import'!$J$3&amp;"$O$54"),7,)</f>
        <v>2.12</v>
      </c>
      <c r="V37" s="60">
        <f ca="1">VLOOKUP(A37,INDIRECT('LOCCS Import'!$I$3&amp;"$A$3"):INDIRECT('LOCCS Import'!$I$3&amp;"$O$54"),7,)</f>
        <v>2.11</v>
      </c>
      <c r="W37" s="60">
        <f ca="1">VLOOKUP(A37,INDIRECT('LOCCS Import'!$H$3&amp;"$A$3"):INDIRECT('LOCCS Import'!$H$3&amp;"$O$54"),7,)</f>
        <v>1.99</v>
      </c>
      <c r="X37" s="60">
        <f ca="1">VLOOKUP(A37,INDIRECT('LOCCS Import'!$G$3&amp;"$A$3"):INDIRECT('LOCCS Import'!$G$3&amp;"$O$54"),7,)</f>
        <v>1.94</v>
      </c>
      <c r="Y37" s="60">
        <f ca="1">VLOOKUP(A37,INDIRECT('LOCCS Import'!$F$3&amp;"$A$3"):INDIRECT('LOCCS Import'!$F$3&amp;"$O$54"),7,)</f>
        <v>1.91</v>
      </c>
      <c r="Z37" s="60">
        <f ca="1">VLOOKUP(A37,INDIRECT('LOCCS Import'!$E$3&amp;"$A$3"):INDIRECT('LOCCS Import'!$E$3&amp;"$O$54"),7,)</f>
        <v>1.9</v>
      </c>
      <c r="AA37" s="60">
        <f>VLOOKUP(A37,template!$A$3:$P$54,7,)</f>
        <v>1.78</v>
      </c>
      <c r="AB37" s="58">
        <f t="shared" ca="1" si="6"/>
        <v>2.48</v>
      </c>
      <c r="AC37" s="60">
        <f t="shared" ca="1" si="7"/>
        <v>1.78</v>
      </c>
      <c r="AD37" s="61">
        <f t="shared" ca="1" si="8"/>
        <v>2.1225000000000001</v>
      </c>
      <c r="AE37" s="84">
        <f t="shared" ca="1" si="9"/>
        <v>9</v>
      </c>
      <c r="AF37" s="138"/>
      <c r="AG37" s="3">
        <f ca="1">VLOOKUP(A37,INDIRECT('LOCCS Import'!$AA$3&amp;"$A$3"):INDIRECT('LOCCS Import'!$AA$3&amp;"$O$54"),8,)</f>
        <v>1.07</v>
      </c>
      <c r="AH37" s="1">
        <f ca="1">VLOOKUP(A37,INDIRECT('LOCCS Import'!$Z$3&amp;"$A$3"):INDIRECT('LOCCS Import'!$Z$3&amp;"$O$54"),8,)</f>
        <v>1.1599999999999999</v>
      </c>
      <c r="AI37" s="1">
        <f ca="1">VLOOKUP(A37,INDIRECT('LOCCS Import'!$Y$3&amp;"$A$3"):INDIRECT('LOCCS Import'!$Y$3&amp;"$O$54"),8,)</f>
        <v>1.05</v>
      </c>
      <c r="AJ37" s="1">
        <f ca="1">VLOOKUP(A37,INDIRECT('LOCCS Import'!$X$3&amp;"$A$3"):INDIRECT('LOCCS Import'!$X$3&amp;"$O$54"),8,)</f>
        <v>1.17</v>
      </c>
      <c r="AK37" s="1">
        <f ca="1">VLOOKUP(A37,INDIRECT('LOCCS Import'!$W$3&amp;"$A$3"):INDIRECT('LOCCS Import'!$W$3&amp;"$O$54"),8,)</f>
        <v>1.2</v>
      </c>
      <c r="AL37" s="1">
        <f ca="1">VLOOKUP(A37,INDIRECT('LOCCS Import'!$V$3&amp;"$A$3"):INDIRECT('LOCCS Import'!$V$3&amp;"$O$54"),8,)</f>
        <v>1.2</v>
      </c>
      <c r="AM37" s="1">
        <f ca="1">VLOOKUP(A37,INDIRECT('LOCCS Import'!$U$3&amp;"$A$3"):INDIRECT('LOCCS Import'!$U$3&amp;"$O$54"),8,)</f>
        <v>1.2</v>
      </c>
      <c r="AN37" s="1">
        <f ca="1">VLOOKUP(A37,INDIRECT('LOCCS Import'!$T$3&amp;"$A$3"):INDIRECT('LOCCS Import'!$T$3&amp;"$O$54"),8,)</f>
        <v>1.23</v>
      </c>
      <c r="AO37" s="1">
        <f ca="1">VLOOKUP(A37,INDIRECT('LOCCS Import'!$S$3&amp;"$A$3"):INDIRECT('LOCCS Import'!$S$3&amp;"$O$54"),8,)</f>
        <v>1.23</v>
      </c>
      <c r="AP37" s="1">
        <f ca="1">VLOOKUP(A37,INDIRECT('LOCCS Import'!$R$3&amp;"$A$3"):INDIRECT('LOCCS Import'!$R$3&amp;"$O$54"),8,)</f>
        <v>1.3</v>
      </c>
      <c r="AQ37" s="1">
        <f ca="1">VLOOKUP(A37,INDIRECT('LOCCS Import'!$Q$3&amp;"$A$3"):INDIRECT('LOCCS Import'!$Q$3&amp;"$O$54"),8,)</f>
        <v>1.18</v>
      </c>
      <c r="AR37" s="1">
        <f ca="1">VLOOKUP(A37,INDIRECT('LOCCS Import'!$P$3&amp;"$A$3"):INDIRECT('LOCCS Import'!$P$3&amp;"$O$54"),8,)</f>
        <v>1.18</v>
      </c>
      <c r="AS37" s="1">
        <f ca="1">VLOOKUP(A37,INDIRECT('LOCCS Import'!$O$3&amp;"$A$3"):INDIRECT('LOCCS Import'!$O$3&amp;"$O$54"),8,)</f>
        <v>0.98</v>
      </c>
      <c r="AT37" s="1">
        <f ca="1">VLOOKUP(A37,INDIRECT('LOCCS Import'!$N$3&amp;"$A$3"):INDIRECT('LOCCS Import'!$N$3&amp;"$O$54"),8,)</f>
        <v>0.96</v>
      </c>
      <c r="AU37" s="1">
        <f ca="1">VLOOKUP(A37,INDIRECT('LOCCS Import'!$M$3&amp;"$A$3"):INDIRECT('LOCCS Import'!$M$3&amp;"$O$54"),8,)</f>
        <v>0.96</v>
      </c>
      <c r="AV37" s="1">
        <f ca="1">VLOOKUP(A37,INDIRECT('LOCCS Import'!$L$3&amp;"$A$3"):INDIRECT('LOCCS Import'!$L$3&amp;"$O$54"),8,)</f>
        <v>0.89</v>
      </c>
      <c r="AW37" s="1">
        <f ca="1">VLOOKUP(A37,INDIRECT('LOCCS Import'!$K$3&amp;"$A$3"):INDIRECT('LOCCS Import'!$K$3&amp;"$O$54"),8,)</f>
        <v>0.9</v>
      </c>
      <c r="AX37" s="1">
        <f ca="1">VLOOKUP(A37,INDIRECT('LOCCS Import'!$J$3&amp;"$A$3"):INDIRECT('LOCCS Import'!$J$3&amp;"$O$54"),8,)</f>
        <v>0.9</v>
      </c>
      <c r="AY37" s="1">
        <f ca="1">VLOOKUP(A37,INDIRECT('LOCCS Import'!$I$3&amp;"$A$3"):INDIRECT('LOCCS Import'!$I$3&amp;"$O$54"),8,)</f>
        <v>0.86</v>
      </c>
      <c r="AZ37" s="1">
        <f ca="1">VLOOKUP(A37,INDIRECT('LOCCS Import'!$H$3&amp;"$A$3"):INDIRECT('LOCCS Import'!$H$3&amp;"$O$54"),8,)</f>
        <v>0.93</v>
      </c>
      <c r="BA37" s="1">
        <f ca="1">VLOOKUP(A37,INDIRECT('LOCCS Import'!$G$3&amp;"$A$3"):INDIRECT('LOCCS Import'!$G$3&amp;"$O$54"),8,)</f>
        <v>0.89</v>
      </c>
      <c r="BB37" s="1">
        <f ca="1">VLOOKUP(A37,INDIRECT('LOCCS Import'!$F$3&amp;"$A$3"):INDIRECT('LOCCS Import'!$F$3&amp;"$O$54"),8,)</f>
        <v>0.8</v>
      </c>
      <c r="BC37" s="1">
        <f ca="1">VLOOKUP(A37,INDIRECT('LOCCS Import'!$E$3&amp;"$A$3"):INDIRECT('LOCCS Import'!$E$3&amp;"$O$54"),8,)</f>
        <v>0.73</v>
      </c>
      <c r="BD37" s="2">
        <f>VLOOKUP(A37,template!$A$3:$P$54,8,)</f>
        <v>0.77</v>
      </c>
      <c r="BE37" s="2">
        <f t="shared" ca="1" si="10"/>
        <v>0.88083333333333347</v>
      </c>
      <c r="BF37" s="115">
        <f t="shared" ca="1" si="5"/>
        <v>29</v>
      </c>
    </row>
    <row r="38" spans="1:58" x14ac:dyDescent="0.3">
      <c r="A38" s="67" t="s">
        <v>50</v>
      </c>
      <c r="B38" s="64" t="s">
        <v>70</v>
      </c>
      <c r="C38" s="64" t="s">
        <v>116</v>
      </c>
      <c r="D38" s="58">
        <f ca="1">VLOOKUP(A38,INDIRECT('LOCCS Import'!$AA$3&amp;"$A$3"):INDIRECT('LOCCS Import'!$AA$3&amp;"$O$54"),7,)</f>
        <v>2.86</v>
      </c>
      <c r="E38" s="60">
        <f ca="1">VLOOKUP(A38,INDIRECT('LOCCS Import'!$Z$3&amp;"$A$3"):INDIRECT('LOCCS Import'!$Z$3&amp;"$O$54"),7,)</f>
        <v>2.82</v>
      </c>
      <c r="F38" s="60">
        <f ca="1">VLOOKUP(A38,INDIRECT('LOCCS Import'!$Y$3&amp;"$A$3"):INDIRECT('LOCCS Import'!$Y$3&amp;"$O$54"),7,)</f>
        <v>2.8</v>
      </c>
      <c r="G38" s="60">
        <f ca="1">VLOOKUP(A38,INDIRECT('LOCCS Import'!$X$3&amp;"$A$3"):INDIRECT('LOCCS Import'!$X$3&amp;"$O$54"),7,)</f>
        <v>2.68</v>
      </c>
      <c r="H38" s="60">
        <f ca="1">VLOOKUP(A38,INDIRECT('LOCCS Import'!$W$3&amp;"$A$3"):INDIRECT('LOCCS Import'!$W$3&amp;"$O$54"),7,)</f>
        <v>2.58</v>
      </c>
      <c r="I38" s="60">
        <f ca="1">VLOOKUP(A38,INDIRECT('LOCCS Import'!$V$3&amp;"$A$3"):INDIRECT('LOCCS Import'!$V$3&amp;"$O$54"),7,)</f>
        <v>2.5499999999999998</v>
      </c>
      <c r="J38" s="60">
        <f ca="1">VLOOKUP(A38,INDIRECT('LOCCS Import'!$U$3&amp;"$A$3"):INDIRECT('LOCCS Import'!$U$3&amp;"$O$54"),7,)</f>
        <v>2.5499999999999998</v>
      </c>
      <c r="K38" s="60">
        <f ca="1">VLOOKUP(A38,INDIRECT('LOCCS Import'!$T$3&amp;"$A$3"):INDIRECT('LOCCS Import'!$T$3&amp;"$O$54"),7,)</f>
        <v>2.36</v>
      </c>
      <c r="L38" s="60">
        <f ca="1">VLOOKUP(A38,INDIRECT('LOCCS Import'!$S$3&amp;"$A$3"):INDIRECT('LOCCS Import'!$S$3&amp;"$O$54"),7,)</f>
        <v>2.2999999999999998</v>
      </c>
      <c r="M38" s="60">
        <f ca="1">VLOOKUP(A38,INDIRECT('LOCCS Import'!$R$3&amp;"$A$3"):INDIRECT('LOCCS Import'!$R$3&amp;"$O$54"),7,)</f>
        <v>2.13</v>
      </c>
      <c r="N38" s="60">
        <f ca="1">VLOOKUP(A38,INDIRECT('LOCCS Import'!$Q$3&amp;"$A$3"):INDIRECT('LOCCS Import'!$Q$3&amp;"$O$54"),7,)</f>
        <v>1.94</v>
      </c>
      <c r="O38" s="60">
        <f ca="1">VLOOKUP(A38,INDIRECT('LOCCS Import'!$P$3&amp;"$A$3"):INDIRECT('LOCCS Import'!$P$3&amp;"$O$54"),7,)</f>
        <v>1.86</v>
      </c>
      <c r="P38" s="60">
        <f ca="1">VLOOKUP(A38,INDIRECT('LOCCS Import'!$O$3&amp;"$A$3"):INDIRECT('LOCCS Import'!$O$3&amp;"$O$54"),7,)</f>
        <v>1.53</v>
      </c>
      <c r="Q38" s="60">
        <f ca="1">VLOOKUP(A38,INDIRECT('LOCCS Import'!$N$3&amp;"$A$3"):INDIRECT('LOCCS Import'!$N$3&amp;"$O$54"),7,)</f>
        <v>1.38</v>
      </c>
      <c r="R38" s="60">
        <f ca="1">VLOOKUP(A38,INDIRECT('LOCCS Import'!$M$3&amp;"$A$3"):INDIRECT('LOCCS Import'!$M$3&amp;"$O$54"),7,)</f>
        <v>1.33</v>
      </c>
      <c r="S38" s="60">
        <f ca="1">VLOOKUP(A38,INDIRECT('LOCCS Import'!$L$3&amp;"$A$3"):INDIRECT('LOCCS Import'!$L$3&amp;"$O$54"),7,)</f>
        <v>2.27</v>
      </c>
      <c r="T38" s="60">
        <f ca="1">VLOOKUP(A38,INDIRECT('LOCCS Import'!$K$3&amp;"$A$3"):INDIRECT('LOCCS Import'!$K$3&amp;"$O$54"),7,)</f>
        <v>2.16</v>
      </c>
      <c r="U38" s="60">
        <f ca="1">VLOOKUP(A38,INDIRECT('LOCCS Import'!$J$3&amp;"$A$3"):INDIRECT('LOCCS Import'!$J$3&amp;"$O$54"),7,)</f>
        <v>2.1</v>
      </c>
      <c r="V38" s="60">
        <f ca="1">VLOOKUP(A38,INDIRECT('LOCCS Import'!$I$3&amp;"$A$3"):INDIRECT('LOCCS Import'!$I$3&amp;"$O$54"),7,)</f>
        <v>2.09</v>
      </c>
      <c r="W38" s="60">
        <f ca="1">VLOOKUP(A38,INDIRECT('LOCCS Import'!$H$3&amp;"$A$3"):INDIRECT('LOCCS Import'!$H$3&amp;"$O$54"),7,)</f>
        <v>1.99</v>
      </c>
      <c r="X38" s="60">
        <f ca="1">VLOOKUP(A38,INDIRECT('LOCCS Import'!$G$3&amp;"$A$3"):INDIRECT('LOCCS Import'!$G$3&amp;"$O$54"),7,)</f>
        <v>1.97</v>
      </c>
      <c r="Y38" s="60">
        <f ca="1">VLOOKUP(A38,INDIRECT('LOCCS Import'!$F$3&amp;"$A$3"):INDIRECT('LOCCS Import'!$F$3&amp;"$O$54"),7,)</f>
        <v>1.78</v>
      </c>
      <c r="Z38" s="60">
        <f ca="1">VLOOKUP(A38,INDIRECT('LOCCS Import'!$E$3&amp;"$A$3"):INDIRECT('LOCCS Import'!$E$3&amp;"$O$54"),7,)</f>
        <v>1.65</v>
      </c>
      <c r="AA38" s="60">
        <f>VLOOKUP(A38,template!$A$3:$P$54,7,)</f>
        <v>1.56</v>
      </c>
      <c r="AB38" s="58">
        <f t="shared" ca="1" si="6"/>
        <v>2.27</v>
      </c>
      <c r="AC38" s="60">
        <f t="shared" ca="1" si="7"/>
        <v>1.33</v>
      </c>
      <c r="AD38" s="61">
        <f t="shared" ca="1" si="8"/>
        <v>1.8174999999999999</v>
      </c>
      <c r="AE38" s="84">
        <f t="shared" ca="1" si="9"/>
        <v>3</v>
      </c>
      <c r="AF38" s="138"/>
      <c r="AG38" s="3">
        <f ca="1">VLOOKUP(A38,INDIRECT('LOCCS Import'!$AA$3&amp;"$A$3"):INDIRECT('LOCCS Import'!$AA$3&amp;"$O$54"),8,)</f>
        <v>1.49</v>
      </c>
      <c r="AH38" s="1">
        <f ca="1">VLOOKUP(A38,INDIRECT('LOCCS Import'!$Z$3&amp;"$A$3"):INDIRECT('LOCCS Import'!$Z$3&amp;"$O$54"),8,)</f>
        <v>1.45</v>
      </c>
      <c r="AI38" s="1">
        <f ca="1">VLOOKUP(A38,INDIRECT('LOCCS Import'!$Y$3&amp;"$A$3"):INDIRECT('LOCCS Import'!$Y$3&amp;"$O$54"),8,)</f>
        <v>1.38</v>
      </c>
      <c r="AJ38" s="1">
        <f ca="1">VLOOKUP(A38,INDIRECT('LOCCS Import'!$X$3&amp;"$A$3"):INDIRECT('LOCCS Import'!$X$3&amp;"$O$54"),8,)</f>
        <v>1.39</v>
      </c>
      <c r="AK38" s="1">
        <f ca="1">VLOOKUP(A38,INDIRECT('LOCCS Import'!$W$3&amp;"$A$3"):INDIRECT('LOCCS Import'!$W$3&amp;"$O$54"),8,)</f>
        <v>1.4</v>
      </c>
      <c r="AL38" s="1">
        <f ca="1">VLOOKUP(A38,INDIRECT('LOCCS Import'!$V$3&amp;"$A$3"):INDIRECT('LOCCS Import'!$V$3&amp;"$O$54"),8,)</f>
        <v>1.32</v>
      </c>
      <c r="AM38" s="1">
        <f ca="1">VLOOKUP(A38,INDIRECT('LOCCS Import'!$U$3&amp;"$A$3"):INDIRECT('LOCCS Import'!$U$3&amp;"$O$54"),8,)</f>
        <v>1.32</v>
      </c>
      <c r="AN38" s="1">
        <f ca="1">VLOOKUP(A38,INDIRECT('LOCCS Import'!$T$3&amp;"$A$3"):INDIRECT('LOCCS Import'!$T$3&amp;"$O$54"),8,)</f>
        <v>1.36</v>
      </c>
      <c r="AO38" s="1">
        <f ca="1">VLOOKUP(A38,INDIRECT('LOCCS Import'!$S$3&amp;"$A$3"):INDIRECT('LOCCS Import'!$S$3&amp;"$O$54"),8,)</f>
        <v>1.1599999999999999</v>
      </c>
      <c r="AP38" s="1">
        <f ca="1">VLOOKUP(A38,INDIRECT('LOCCS Import'!$R$3&amp;"$A$3"):INDIRECT('LOCCS Import'!$R$3&amp;"$O$54"),8,)</f>
        <v>1.33</v>
      </c>
      <c r="AQ38" s="1">
        <f ca="1">VLOOKUP(A38,INDIRECT('LOCCS Import'!$Q$3&amp;"$A$3"):INDIRECT('LOCCS Import'!$Q$3&amp;"$O$54"),8,)</f>
        <v>1.21</v>
      </c>
      <c r="AR38" s="1">
        <f ca="1">VLOOKUP(A38,INDIRECT('LOCCS Import'!$P$3&amp;"$A$3"):INDIRECT('LOCCS Import'!$P$3&amp;"$O$54"),8,)</f>
        <v>1.18</v>
      </c>
      <c r="AS38" s="1">
        <f ca="1">VLOOKUP(A38,INDIRECT('LOCCS Import'!$O$3&amp;"$A$3"):INDIRECT('LOCCS Import'!$O$3&amp;"$O$54"),8,)</f>
        <v>1.33</v>
      </c>
      <c r="AT38" s="1">
        <f ca="1">VLOOKUP(A38,INDIRECT('LOCCS Import'!$N$3&amp;"$A$3"):INDIRECT('LOCCS Import'!$N$3&amp;"$O$54"),8,)</f>
        <v>1.44</v>
      </c>
      <c r="AU38" s="1">
        <f ca="1">VLOOKUP(A38,INDIRECT('LOCCS Import'!$M$3&amp;"$A$3"):INDIRECT('LOCCS Import'!$M$3&amp;"$O$54"),8,)</f>
        <v>1.46</v>
      </c>
      <c r="AV38" s="1">
        <f ca="1">VLOOKUP(A38,INDIRECT('LOCCS Import'!$L$3&amp;"$A$3"):INDIRECT('LOCCS Import'!$L$3&amp;"$O$54"),8,)</f>
        <v>1.39</v>
      </c>
      <c r="AW38" s="1">
        <f ca="1">VLOOKUP(A38,INDIRECT('LOCCS Import'!$K$3&amp;"$A$3"):INDIRECT('LOCCS Import'!$K$3&amp;"$O$54"),8,)</f>
        <v>1.4</v>
      </c>
      <c r="AX38" s="1">
        <f ca="1">VLOOKUP(A38,INDIRECT('LOCCS Import'!$J$3&amp;"$A$3"):INDIRECT('LOCCS Import'!$J$3&amp;"$O$54"),8,)</f>
        <v>1.43</v>
      </c>
      <c r="AY38" s="1">
        <f ca="1">VLOOKUP(A38,INDIRECT('LOCCS Import'!$I$3&amp;"$A$3"):INDIRECT('LOCCS Import'!$I$3&amp;"$O$54"),8,)</f>
        <v>1.35</v>
      </c>
      <c r="AZ38" s="1">
        <f ca="1">VLOOKUP(A38,INDIRECT('LOCCS Import'!$H$3&amp;"$A$3"):INDIRECT('LOCCS Import'!$H$3&amp;"$O$54"),8,)</f>
        <v>1.34</v>
      </c>
      <c r="BA38" s="1">
        <f ca="1">VLOOKUP(A38,INDIRECT('LOCCS Import'!$G$3&amp;"$A$3"):INDIRECT('LOCCS Import'!$G$3&amp;"$O$54"),8,)</f>
        <v>1.31</v>
      </c>
      <c r="BB38" s="1">
        <f ca="1">VLOOKUP(A38,INDIRECT('LOCCS Import'!$F$3&amp;"$A$3"):INDIRECT('LOCCS Import'!$F$3&amp;"$O$54"),8,)</f>
        <v>1.33</v>
      </c>
      <c r="BC38" s="1">
        <f ca="1">VLOOKUP(A38,INDIRECT('LOCCS Import'!$E$3&amp;"$A$3"):INDIRECT('LOCCS Import'!$E$3&amp;"$O$54"),8,)</f>
        <v>1.27</v>
      </c>
      <c r="BD38" s="2">
        <f>VLOOKUP(A38,template!$A$3:$P$54,8,)</f>
        <v>1.28</v>
      </c>
      <c r="BE38" s="2">
        <f t="shared" ca="1" si="10"/>
        <v>1.3608333333333331</v>
      </c>
      <c r="BF38" s="115">
        <f t="shared" ca="1" si="5"/>
        <v>5</v>
      </c>
    </row>
    <row r="39" spans="1:58" x14ac:dyDescent="0.3">
      <c r="A39" s="67" t="s">
        <v>51</v>
      </c>
      <c r="B39" s="64" t="s">
        <v>70</v>
      </c>
      <c r="C39" s="64" t="s">
        <v>117</v>
      </c>
      <c r="D39" s="58">
        <f ca="1">VLOOKUP(A39,INDIRECT('LOCCS Import'!$AA$3&amp;"$A$3"):INDIRECT('LOCCS Import'!$AA$3&amp;"$O$54"),7,)</f>
        <v>3.49</v>
      </c>
      <c r="E39" s="60">
        <f ca="1">VLOOKUP(A39,INDIRECT('LOCCS Import'!$Z$3&amp;"$A$3"):INDIRECT('LOCCS Import'!$Z$3&amp;"$O$54"),7,)</f>
        <v>3.39</v>
      </c>
      <c r="F39" s="60">
        <f ca="1">VLOOKUP(A39,INDIRECT('LOCCS Import'!$Y$3&amp;"$A$3"):INDIRECT('LOCCS Import'!$Y$3&amp;"$O$54"),7,)</f>
        <v>3.3</v>
      </c>
      <c r="G39" s="60">
        <f ca="1">VLOOKUP(A39,INDIRECT('LOCCS Import'!$X$3&amp;"$A$3"):INDIRECT('LOCCS Import'!$X$3&amp;"$O$54"),7,)</f>
        <v>3.22</v>
      </c>
      <c r="H39" s="60">
        <f ca="1">VLOOKUP(A39,INDIRECT('LOCCS Import'!$W$3&amp;"$A$3"):INDIRECT('LOCCS Import'!$W$3&amp;"$O$54"),7,)</f>
        <v>3.17</v>
      </c>
      <c r="I39" s="60">
        <f ca="1">VLOOKUP(A39,INDIRECT('LOCCS Import'!$V$3&amp;"$A$3"):INDIRECT('LOCCS Import'!$V$3&amp;"$O$54"),7,)</f>
        <v>3.12</v>
      </c>
      <c r="J39" s="60">
        <f ca="1">VLOOKUP(A39,INDIRECT('LOCCS Import'!$U$3&amp;"$A$3"):INDIRECT('LOCCS Import'!$U$3&amp;"$O$54"),7,)</f>
        <v>3.12</v>
      </c>
      <c r="K39" s="60">
        <f ca="1">VLOOKUP(A39,INDIRECT('LOCCS Import'!$T$3&amp;"$A$3"):INDIRECT('LOCCS Import'!$T$3&amp;"$O$54"),7,)</f>
        <v>3.01</v>
      </c>
      <c r="L39" s="60">
        <f ca="1">VLOOKUP(A39,INDIRECT('LOCCS Import'!$S$3&amp;"$A$3"):INDIRECT('LOCCS Import'!$S$3&amp;"$O$54"),7,)</f>
        <v>2.94</v>
      </c>
      <c r="M39" s="60">
        <f ca="1">VLOOKUP(A39,INDIRECT('LOCCS Import'!$R$3&amp;"$A$3"):INDIRECT('LOCCS Import'!$R$3&amp;"$O$54"),7,)</f>
        <v>2.86</v>
      </c>
      <c r="N39" s="60">
        <f ca="1">VLOOKUP(A39,INDIRECT('LOCCS Import'!$Q$3&amp;"$A$3"):INDIRECT('LOCCS Import'!$Q$3&amp;"$O$54"),7,)</f>
        <v>2.79</v>
      </c>
      <c r="O39" s="60">
        <f ca="1">VLOOKUP(A39,INDIRECT('LOCCS Import'!$P$3&amp;"$A$3"):INDIRECT('LOCCS Import'!$P$3&amp;"$O$54"),7,)</f>
        <v>3.71</v>
      </c>
      <c r="P39" s="60">
        <f ca="1">VLOOKUP(A39,INDIRECT('LOCCS Import'!$O$3&amp;"$A$3"):INDIRECT('LOCCS Import'!$O$3&amp;"$O$54"),7,)</f>
        <v>3.62</v>
      </c>
      <c r="Q39" s="60">
        <f ca="1">VLOOKUP(A39,INDIRECT('LOCCS Import'!$N$3&amp;"$A$3"):INDIRECT('LOCCS Import'!$N$3&amp;"$O$54"),7,)</f>
        <v>3.54</v>
      </c>
      <c r="R39" s="60">
        <f ca="1">VLOOKUP(A39,INDIRECT('LOCCS Import'!$M$3&amp;"$A$3"):INDIRECT('LOCCS Import'!$M$3&amp;"$O$54"),7,)</f>
        <v>3.36</v>
      </c>
      <c r="S39" s="60">
        <f ca="1">VLOOKUP(A39,INDIRECT('LOCCS Import'!$L$3&amp;"$A$3"):INDIRECT('LOCCS Import'!$L$3&amp;"$O$54"),7,)</f>
        <v>3.3</v>
      </c>
      <c r="T39" s="60">
        <f ca="1">VLOOKUP(A39,INDIRECT('LOCCS Import'!$K$3&amp;"$A$3"):INDIRECT('LOCCS Import'!$K$3&amp;"$O$54"),7,)</f>
        <v>3.17</v>
      </c>
      <c r="U39" s="60">
        <f ca="1">VLOOKUP(A39,INDIRECT('LOCCS Import'!$J$3&amp;"$A$3"):INDIRECT('LOCCS Import'!$J$3&amp;"$O$54"),7,)</f>
        <v>3.11</v>
      </c>
      <c r="V39" s="60">
        <f ca="1">VLOOKUP(A39,INDIRECT('LOCCS Import'!$I$3&amp;"$A$3"):INDIRECT('LOCCS Import'!$I$3&amp;"$O$54"),7,)</f>
        <v>3.06</v>
      </c>
      <c r="W39" s="60">
        <f ca="1">VLOOKUP(A39,INDIRECT('LOCCS Import'!$H$3&amp;"$A$3"):INDIRECT('LOCCS Import'!$H$3&amp;"$O$54"),7,)</f>
        <v>3</v>
      </c>
      <c r="X39" s="60">
        <f ca="1">VLOOKUP(A39,INDIRECT('LOCCS Import'!$G$3&amp;"$A$3"):INDIRECT('LOCCS Import'!$G$3&amp;"$O$54"),7,)</f>
        <v>2.95</v>
      </c>
      <c r="Y39" s="60">
        <f ca="1">VLOOKUP(A39,INDIRECT('LOCCS Import'!$F$3&amp;"$A$3"):INDIRECT('LOCCS Import'!$F$3&amp;"$O$54"),7,)</f>
        <v>2.88</v>
      </c>
      <c r="Z39" s="60">
        <f ca="1">VLOOKUP(A39,INDIRECT('LOCCS Import'!$E$3&amp;"$A$3"):INDIRECT('LOCCS Import'!$E$3&amp;"$O$54"),7,)</f>
        <v>2.79</v>
      </c>
      <c r="AA39" s="60">
        <f>VLOOKUP(A39,template!$A$3:$P$54,7,)</f>
        <v>2.74</v>
      </c>
      <c r="AB39" s="58">
        <f t="shared" ca="1" si="6"/>
        <v>3.62</v>
      </c>
      <c r="AC39" s="60">
        <f t="shared" ca="1" si="7"/>
        <v>2.74</v>
      </c>
      <c r="AD39" s="61">
        <f t="shared" ca="1" si="8"/>
        <v>3.1266666666666669</v>
      </c>
      <c r="AE39" s="84">
        <f t="shared" ca="1" si="9"/>
        <v>27</v>
      </c>
      <c r="AF39" s="138"/>
      <c r="AG39" s="3">
        <f ca="1">VLOOKUP(A39,INDIRECT('LOCCS Import'!$AA$3&amp;"$A$3"):INDIRECT('LOCCS Import'!$AA$3&amp;"$O$54"),8,)</f>
        <v>0.98</v>
      </c>
      <c r="AH39" s="1">
        <f ca="1">VLOOKUP(A39,INDIRECT('LOCCS Import'!$Z$3&amp;"$A$3"):INDIRECT('LOCCS Import'!$Z$3&amp;"$O$54"),8,)</f>
        <v>0.98</v>
      </c>
      <c r="AI39" s="1">
        <f ca="1">VLOOKUP(A39,INDIRECT('LOCCS Import'!$Y$3&amp;"$A$3"):INDIRECT('LOCCS Import'!$Y$3&amp;"$O$54"),8,)</f>
        <v>0.94</v>
      </c>
      <c r="AJ39" s="1">
        <f ca="1">VLOOKUP(A39,INDIRECT('LOCCS Import'!$X$3&amp;"$A$3"):INDIRECT('LOCCS Import'!$X$3&amp;"$O$54"),8,)</f>
        <v>0.95</v>
      </c>
      <c r="AK39" s="1">
        <f ca="1">VLOOKUP(A39,INDIRECT('LOCCS Import'!$W$3&amp;"$A$3"):INDIRECT('LOCCS Import'!$W$3&amp;"$O$54"),8,)</f>
        <v>0.94</v>
      </c>
      <c r="AL39" s="1">
        <f ca="1">VLOOKUP(A39,INDIRECT('LOCCS Import'!$V$3&amp;"$A$3"):INDIRECT('LOCCS Import'!$V$3&amp;"$O$54"),8,)</f>
        <v>0.94</v>
      </c>
      <c r="AM39" s="1">
        <f ca="1">VLOOKUP(A39,INDIRECT('LOCCS Import'!$U$3&amp;"$A$3"):INDIRECT('LOCCS Import'!$U$3&amp;"$O$54"),8,)</f>
        <v>0.94</v>
      </c>
      <c r="AN39" s="1">
        <f ca="1">VLOOKUP(A39,INDIRECT('LOCCS Import'!$T$3&amp;"$A$3"):INDIRECT('LOCCS Import'!$T$3&amp;"$O$54"),8,)</f>
        <v>0.93</v>
      </c>
      <c r="AO39" s="1">
        <f ca="1">VLOOKUP(A39,INDIRECT('LOCCS Import'!$S$3&amp;"$A$3"):INDIRECT('LOCCS Import'!$S$3&amp;"$O$54"),8,)</f>
        <v>0.94</v>
      </c>
      <c r="AP39" s="1">
        <f ca="1">VLOOKUP(A39,INDIRECT('LOCCS Import'!$R$3&amp;"$A$3"):INDIRECT('LOCCS Import'!$R$3&amp;"$O$54"),8,)</f>
        <v>0.95</v>
      </c>
      <c r="AQ39" s="1">
        <f ca="1">VLOOKUP(A39,INDIRECT('LOCCS Import'!$Q$3&amp;"$A$3"):INDIRECT('LOCCS Import'!$Q$3&amp;"$O$54"),8,)</f>
        <v>0.92</v>
      </c>
      <c r="AR39" s="1">
        <f ca="1">VLOOKUP(A39,INDIRECT('LOCCS Import'!$P$3&amp;"$A$3"):INDIRECT('LOCCS Import'!$P$3&amp;"$O$54"),8,)</f>
        <v>0.92</v>
      </c>
      <c r="AS39" s="1">
        <f ca="1">VLOOKUP(A39,INDIRECT('LOCCS Import'!$O$3&amp;"$A$3"):INDIRECT('LOCCS Import'!$O$3&amp;"$O$54"),8,)</f>
        <v>0.86</v>
      </c>
      <c r="AT39" s="1">
        <f ca="1">VLOOKUP(A39,INDIRECT('LOCCS Import'!$N$3&amp;"$A$3"):INDIRECT('LOCCS Import'!$N$3&amp;"$O$54"),8,)</f>
        <v>0.85</v>
      </c>
      <c r="AU39" s="1">
        <f ca="1">VLOOKUP(A39,INDIRECT('LOCCS Import'!$M$3&amp;"$A$3"):INDIRECT('LOCCS Import'!$M$3&amp;"$O$54"),8,)</f>
        <v>0.93</v>
      </c>
      <c r="AV39" s="1">
        <f ca="1">VLOOKUP(A39,INDIRECT('LOCCS Import'!$L$3&amp;"$A$3"):INDIRECT('LOCCS Import'!$L$3&amp;"$O$54"),8,)</f>
        <v>0.92</v>
      </c>
      <c r="AW39" s="1">
        <f ca="1">VLOOKUP(A39,INDIRECT('LOCCS Import'!$K$3&amp;"$A$3"):INDIRECT('LOCCS Import'!$K$3&amp;"$O$54"),8,)</f>
        <v>1</v>
      </c>
      <c r="AX39" s="1">
        <f ca="1">VLOOKUP(A39,INDIRECT('LOCCS Import'!$J$3&amp;"$A$3"):INDIRECT('LOCCS Import'!$J$3&amp;"$O$54"),8,)</f>
        <v>1</v>
      </c>
      <c r="AY39" s="1">
        <f ca="1">VLOOKUP(A39,INDIRECT('LOCCS Import'!$I$3&amp;"$A$3"):INDIRECT('LOCCS Import'!$I$3&amp;"$O$54"),8,)</f>
        <v>1</v>
      </c>
      <c r="AZ39" s="1">
        <f ca="1">VLOOKUP(A39,INDIRECT('LOCCS Import'!$H$3&amp;"$A$3"):INDIRECT('LOCCS Import'!$H$3&amp;"$O$54"),8,)</f>
        <v>1</v>
      </c>
      <c r="BA39" s="1">
        <f ca="1">VLOOKUP(A39,INDIRECT('LOCCS Import'!$G$3&amp;"$A$3"):INDIRECT('LOCCS Import'!$G$3&amp;"$O$54"),8,)</f>
        <v>0.98</v>
      </c>
      <c r="BB39" s="1">
        <f ca="1">VLOOKUP(A39,INDIRECT('LOCCS Import'!$F$3&amp;"$A$3"):INDIRECT('LOCCS Import'!$F$3&amp;"$O$54"),8,)</f>
        <v>0.97</v>
      </c>
      <c r="BC39" s="1">
        <f ca="1">VLOOKUP(A39,INDIRECT('LOCCS Import'!$E$3&amp;"$A$3"):INDIRECT('LOCCS Import'!$E$3&amp;"$O$54"),8,)</f>
        <v>1</v>
      </c>
      <c r="BD39" s="2">
        <f>VLOOKUP(A39,template!$A$3:$P$54,8,)</f>
        <v>0.97</v>
      </c>
      <c r="BE39" s="2">
        <f t="shared" ca="1" si="10"/>
        <v>0.95666666666666689</v>
      </c>
      <c r="BF39" s="115">
        <f t="shared" ca="1" si="5"/>
        <v>19</v>
      </c>
    </row>
    <row r="40" spans="1:58" x14ac:dyDescent="0.3">
      <c r="A40" s="67" t="s">
        <v>52</v>
      </c>
      <c r="B40" s="64" t="s">
        <v>73</v>
      </c>
      <c r="C40" s="64" t="s">
        <v>118</v>
      </c>
      <c r="D40" s="58">
        <f ca="1">VLOOKUP(A40,INDIRECT('LOCCS Import'!$AA$3&amp;"$A$3"):INDIRECT('LOCCS Import'!$AA$3&amp;"$O$54"),7,)</f>
        <v>4.4000000000000004</v>
      </c>
      <c r="E40" s="60">
        <f ca="1">VLOOKUP(A40,INDIRECT('LOCCS Import'!$Z$3&amp;"$A$3"):INDIRECT('LOCCS Import'!$Z$3&amp;"$O$54"),7,)</f>
        <v>4.33</v>
      </c>
      <c r="F40" s="60">
        <f ca="1">VLOOKUP(A40,INDIRECT('LOCCS Import'!$Y$3&amp;"$A$3"):INDIRECT('LOCCS Import'!$Y$3&amp;"$O$54"),7,)</f>
        <v>4.26</v>
      </c>
      <c r="G40" s="60">
        <f ca="1">VLOOKUP(A40,INDIRECT('LOCCS Import'!$X$3&amp;"$A$3"):INDIRECT('LOCCS Import'!$X$3&amp;"$O$54"),7,)</f>
        <v>4.21</v>
      </c>
      <c r="H40" s="60">
        <f ca="1">VLOOKUP(A40,INDIRECT('LOCCS Import'!$W$3&amp;"$A$3"):INDIRECT('LOCCS Import'!$W$3&amp;"$O$54"),7,)</f>
        <v>4.1399999999999997</v>
      </c>
      <c r="I40" s="60">
        <f ca="1">VLOOKUP(A40,INDIRECT('LOCCS Import'!$V$3&amp;"$A$3"):INDIRECT('LOCCS Import'!$V$3&amp;"$O$54"),7,)</f>
        <v>4.09</v>
      </c>
      <c r="J40" s="60">
        <f ca="1">VLOOKUP(A40,INDIRECT('LOCCS Import'!$U$3&amp;"$A$3"):INDIRECT('LOCCS Import'!$U$3&amp;"$O$54"),7,)</f>
        <v>4.09</v>
      </c>
      <c r="K40" s="60">
        <f ca="1">VLOOKUP(A40,INDIRECT('LOCCS Import'!$T$3&amp;"$A$3"):INDIRECT('LOCCS Import'!$T$3&amp;"$O$54"),7,)</f>
        <v>3.88</v>
      </c>
      <c r="L40" s="60">
        <f ca="1">VLOOKUP(A40,INDIRECT('LOCCS Import'!$S$3&amp;"$A$3"):INDIRECT('LOCCS Import'!$S$3&amp;"$O$54"),7,)</f>
        <v>3.83</v>
      </c>
      <c r="M40" s="60">
        <f ca="1">VLOOKUP(A40,INDIRECT('LOCCS Import'!$R$3&amp;"$A$3"):INDIRECT('LOCCS Import'!$R$3&amp;"$O$54"),7,)</f>
        <v>3.71</v>
      </c>
      <c r="N40" s="60">
        <f ca="1">VLOOKUP(A40,INDIRECT('LOCCS Import'!$Q$3&amp;"$A$3"):INDIRECT('LOCCS Import'!$Q$3&amp;"$O$54"),7,)</f>
        <v>3.61</v>
      </c>
      <c r="O40" s="60">
        <f ca="1">VLOOKUP(A40,INDIRECT('LOCCS Import'!$P$3&amp;"$A$3"):INDIRECT('LOCCS Import'!$P$3&amp;"$O$54"),7,)</f>
        <v>4.6100000000000003</v>
      </c>
      <c r="P40" s="60">
        <f ca="1">VLOOKUP(A40,INDIRECT('LOCCS Import'!$O$3&amp;"$A$3"):INDIRECT('LOCCS Import'!$O$3&amp;"$O$54"),7,)</f>
        <v>4.4400000000000004</v>
      </c>
      <c r="Q40" s="60">
        <f ca="1">VLOOKUP(A40,INDIRECT('LOCCS Import'!$N$3&amp;"$A$3"):INDIRECT('LOCCS Import'!$N$3&amp;"$O$54"),7,)</f>
        <v>4.3899999999999997</v>
      </c>
      <c r="R40" s="60">
        <f ca="1">VLOOKUP(A40,INDIRECT('LOCCS Import'!$M$3&amp;"$A$3"):INDIRECT('LOCCS Import'!$M$3&amp;"$O$54"),7,)</f>
        <v>4.33</v>
      </c>
      <c r="S40" s="60">
        <f ca="1">VLOOKUP(A40,INDIRECT('LOCCS Import'!$L$3&amp;"$A$3"):INDIRECT('LOCCS Import'!$L$3&amp;"$O$54"),7,)</f>
        <v>4.29</v>
      </c>
      <c r="T40" s="60">
        <f ca="1">VLOOKUP(A40,INDIRECT('LOCCS Import'!$K$3&amp;"$A$3"):INDIRECT('LOCCS Import'!$K$3&amp;"$O$54"),7,)</f>
        <v>4.22</v>
      </c>
      <c r="U40" s="60">
        <f ca="1">VLOOKUP(A40,INDIRECT('LOCCS Import'!$J$3&amp;"$A$3"):INDIRECT('LOCCS Import'!$J$3&amp;"$O$54"),7,)</f>
        <v>4.13</v>
      </c>
      <c r="V40" s="60">
        <f ca="1">VLOOKUP(A40,INDIRECT('LOCCS Import'!$I$3&amp;"$A$3"):INDIRECT('LOCCS Import'!$I$3&amp;"$O$54"),7,)</f>
        <v>4.0599999999999996</v>
      </c>
      <c r="W40" s="60">
        <f ca="1">VLOOKUP(A40,INDIRECT('LOCCS Import'!$H$3&amp;"$A$3"):INDIRECT('LOCCS Import'!$H$3&amp;"$O$54"),7,)</f>
        <v>4.0199999999999996</v>
      </c>
      <c r="X40" s="60">
        <f ca="1">VLOOKUP(A40,INDIRECT('LOCCS Import'!$G$3&amp;"$A$3"):INDIRECT('LOCCS Import'!$G$3&amp;"$O$54"),7,)</f>
        <v>3.89</v>
      </c>
      <c r="Y40" s="60">
        <f ca="1">VLOOKUP(A40,INDIRECT('LOCCS Import'!$F$3&amp;"$A$3"):INDIRECT('LOCCS Import'!$F$3&amp;"$O$54"),7,)</f>
        <v>3.8</v>
      </c>
      <c r="Z40" s="60">
        <f ca="1">VLOOKUP(A40,INDIRECT('LOCCS Import'!$E$3&amp;"$A$3"):INDIRECT('LOCCS Import'!$E$3&amp;"$O$54"),7,)</f>
        <v>3.67</v>
      </c>
      <c r="AA40" s="60">
        <f>VLOOKUP(A40,template!$A$3:$P$54,7,)</f>
        <v>4.5199999999999996</v>
      </c>
      <c r="AB40" s="58">
        <f t="shared" ca="1" si="6"/>
        <v>4.5199999999999996</v>
      </c>
      <c r="AC40" s="60">
        <f t="shared" ca="1" si="7"/>
        <v>3.67</v>
      </c>
      <c r="AD40" s="61">
        <f t="shared" ca="1" si="8"/>
        <v>4.1466666666666656</v>
      </c>
      <c r="AE40" s="84">
        <f t="shared" ca="1" si="9"/>
        <v>45</v>
      </c>
      <c r="AF40" s="138"/>
      <c r="AG40" s="3">
        <f ca="1">VLOOKUP(A40,INDIRECT('LOCCS Import'!$AA$3&amp;"$A$3"):INDIRECT('LOCCS Import'!$AA$3&amp;"$O$54"),8,)</f>
        <v>1.02</v>
      </c>
      <c r="AH40" s="1">
        <f ca="1">VLOOKUP(A40,INDIRECT('LOCCS Import'!$Z$3&amp;"$A$3"):INDIRECT('LOCCS Import'!$Z$3&amp;"$O$54"),8,)</f>
        <v>0.98</v>
      </c>
      <c r="AI40" s="1">
        <f ca="1">VLOOKUP(A40,INDIRECT('LOCCS Import'!$Y$3&amp;"$A$3"):INDIRECT('LOCCS Import'!$Y$3&amp;"$O$54"),8,)</f>
        <v>0.95</v>
      </c>
      <c r="AJ40" s="1">
        <f ca="1">VLOOKUP(A40,INDIRECT('LOCCS Import'!$X$3&amp;"$A$3"):INDIRECT('LOCCS Import'!$X$3&amp;"$O$54"),8,)</f>
        <v>0.92</v>
      </c>
      <c r="AK40" s="1">
        <f ca="1">VLOOKUP(A40,INDIRECT('LOCCS Import'!$W$3&amp;"$A$3"):INDIRECT('LOCCS Import'!$W$3&amp;"$O$54"),8,)</f>
        <v>0.98</v>
      </c>
      <c r="AL40" s="1">
        <f ca="1">VLOOKUP(A40,INDIRECT('LOCCS Import'!$V$3&amp;"$A$3"):INDIRECT('LOCCS Import'!$V$3&amp;"$O$54"),8,)</f>
        <v>0.92</v>
      </c>
      <c r="AM40" s="1">
        <f ca="1">VLOOKUP(A40,INDIRECT('LOCCS Import'!$U$3&amp;"$A$3"):INDIRECT('LOCCS Import'!$U$3&amp;"$O$54"),8,)</f>
        <v>0.92</v>
      </c>
      <c r="AN40" s="1">
        <f ca="1">VLOOKUP(A40,INDIRECT('LOCCS Import'!$T$3&amp;"$A$3"):INDIRECT('LOCCS Import'!$T$3&amp;"$O$54"),8,)</f>
        <v>0.98</v>
      </c>
      <c r="AO40" s="1">
        <f ca="1">VLOOKUP(A40,INDIRECT('LOCCS Import'!$S$3&amp;"$A$3"):INDIRECT('LOCCS Import'!$S$3&amp;"$O$54"),8,)</f>
        <v>0.92</v>
      </c>
      <c r="AP40" s="1">
        <f ca="1">VLOOKUP(A40,INDIRECT('LOCCS Import'!$R$3&amp;"$A$3"):INDIRECT('LOCCS Import'!$R$3&amp;"$O$54"),8,)</f>
        <v>0.91</v>
      </c>
      <c r="AQ40" s="1">
        <f ca="1">VLOOKUP(A40,INDIRECT('LOCCS Import'!$Q$3&amp;"$A$3"):INDIRECT('LOCCS Import'!$Q$3&amp;"$O$54"),8,)</f>
        <v>0.91</v>
      </c>
      <c r="AR40" s="1">
        <f ca="1">VLOOKUP(A40,INDIRECT('LOCCS Import'!$P$3&amp;"$A$3"):INDIRECT('LOCCS Import'!$P$3&amp;"$O$54"),8,)</f>
        <v>0.91</v>
      </c>
      <c r="AS40" s="1">
        <f ca="1">VLOOKUP(A40,INDIRECT('LOCCS Import'!$O$3&amp;"$A$3"):INDIRECT('LOCCS Import'!$O$3&amp;"$O$54"),8,)</f>
        <v>1.01</v>
      </c>
      <c r="AT40" s="1">
        <f ca="1">VLOOKUP(A40,INDIRECT('LOCCS Import'!$N$3&amp;"$A$3"):INDIRECT('LOCCS Import'!$N$3&amp;"$O$54"),8,)</f>
        <v>1.01</v>
      </c>
      <c r="AU40" s="1">
        <f ca="1">VLOOKUP(A40,INDIRECT('LOCCS Import'!$M$3&amp;"$A$3"):INDIRECT('LOCCS Import'!$M$3&amp;"$O$54"),8,)</f>
        <v>1</v>
      </c>
      <c r="AV40" s="1">
        <f ca="1">VLOOKUP(A40,INDIRECT('LOCCS Import'!$L$3&amp;"$A$3"):INDIRECT('LOCCS Import'!$L$3&amp;"$O$54"),8,)</f>
        <v>0.98</v>
      </c>
      <c r="AW40" s="1">
        <f ca="1">VLOOKUP(A40,INDIRECT('LOCCS Import'!$K$3&amp;"$A$3"):INDIRECT('LOCCS Import'!$K$3&amp;"$O$54"),8,)</f>
        <v>0.98</v>
      </c>
      <c r="AX40" s="1">
        <f ca="1">VLOOKUP(A40,INDIRECT('LOCCS Import'!$J$3&amp;"$A$3"):INDIRECT('LOCCS Import'!$J$3&amp;"$O$54"),8,)</f>
        <v>1.01</v>
      </c>
      <c r="AY40" s="1">
        <f ca="1">VLOOKUP(A40,INDIRECT('LOCCS Import'!$I$3&amp;"$A$3"):INDIRECT('LOCCS Import'!$I$3&amp;"$O$54"),8,)</f>
        <v>0.99</v>
      </c>
      <c r="AZ40" s="1">
        <f ca="1">VLOOKUP(A40,INDIRECT('LOCCS Import'!$H$3&amp;"$A$3"):INDIRECT('LOCCS Import'!$H$3&amp;"$O$54"),8,)</f>
        <v>0.92</v>
      </c>
      <c r="BA40" s="1">
        <f ca="1">VLOOKUP(A40,INDIRECT('LOCCS Import'!$G$3&amp;"$A$3"):INDIRECT('LOCCS Import'!$G$3&amp;"$O$54"),8,)</f>
        <v>1</v>
      </c>
      <c r="BB40" s="1">
        <f ca="1">VLOOKUP(A40,INDIRECT('LOCCS Import'!$F$3&amp;"$A$3"):INDIRECT('LOCCS Import'!$F$3&amp;"$O$54"),8,)</f>
        <v>0.96</v>
      </c>
      <c r="BC40" s="1">
        <f ca="1">VLOOKUP(A40,INDIRECT('LOCCS Import'!$E$3&amp;"$A$3"):INDIRECT('LOCCS Import'!$E$3&amp;"$O$54"),8,)</f>
        <v>0.99</v>
      </c>
      <c r="BD40" s="2">
        <f>VLOOKUP(A40,template!$A$3:$P$54,8,)</f>
        <v>1.18</v>
      </c>
      <c r="BE40" s="2">
        <f t="shared" ca="1" si="10"/>
        <v>1.0024999999999999</v>
      </c>
      <c r="BF40" s="115">
        <f t="shared" ca="1" si="5"/>
        <v>17</v>
      </c>
    </row>
    <row r="41" spans="1:58" x14ac:dyDescent="0.3">
      <c r="A41" s="67" t="s">
        <v>53</v>
      </c>
      <c r="B41" s="64" t="s">
        <v>73</v>
      </c>
      <c r="C41" s="64" t="s">
        <v>119</v>
      </c>
      <c r="D41" s="58">
        <f ca="1">VLOOKUP(A41,INDIRECT('LOCCS Import'!$AA$3&amp;"$A$3"):INDIRECT('LOCCS Import'!$AA$3&amp;"$O$54"),7,)</f>
        <v>4.84</v>
      </c>
      <c r="E41" s="60">
        <f ca="1">VLOOKUP(A41,INDIRECT('LOCCS Import'!$Z$3&amp;"$A$3"):INDIRECT('LOCCS Import'!$Z$3&amp;"$O$54"),7,)</f>
        <v>4.84</v>
      </c>
      <c r="F41" s="60">
        <f ca="1">VLOOKUP(A41,INDIRECT('LOCCS Import'!$Y$3&amp;"$A$3"):INDIRECT('LOCCS Import'!$Y$3&amp;"$O$54"),7,)</f>
        <v>4.83</v>
      </c>
      <c r="G41" s="60">
        <f ca="1">VLOOKUP(A41,INDIRECT('LOCCS Import'!$X$3&amp;"$A$3"):INDIRECT('LOCCS Import'!$X$3&amp;"$O$54"),7,)</f>
        <v>4.2300000000000004</v>
      </c>
      <c r="H41" s="60">
        <f ca="1">VLOOKUP(A41,INDIRECT('LOCCS Import'!$W$3&amp;"$A$3"):INDIRECT('LOCCS Import'!$W$3&amp;"$O$54"),7,)</f>
        <v>4.16</v>
      </c>
      <c r="I41" s="60">
        <f ca="1">VLOOKUP(A41,INDIRECT('LOCCS Import'!$V$3&amp;"$A$3"):INDIRECT('LOCCS Import'!$V$3&amp;"$O$54"),7,)</f>
        <v>4.1399999999999997</v>
      </c>
      <c r="J41" s="60">
        <f ca="1">VLOOKUP(A41,INDIRECT('LOCCS Import'!$U$3&amp;"$A$3"):INDIRECT('LOCCS Import'!$U$3&amp;"$O$54"),7,)</f>
        <v>4.1399999999999997</v>
      </c>
      <c r="K41" s="60">
        <f ca="1">VLOOKUP(A41,INDIRECT('LOCCS Import'!$T$3&amp;"$A$3"):INDIRECT('LOCCS Import'!$T$3&amp;"$O$54"),7,)</f>
        <v>3.81</v>
      </c>
      <c r="L41" s="60">
        <f ca="1">VLOOKUP(A41,INDIRECT('LOCCS Import'!$S$3&amp;"$A$3"):INDIRECT('LOCCS Import'!$S$3&amp;"$O$54"),7,)</f>
        <v>3.79</v>
      </c>
      <c r="M41" s="60">
        <f ca="1">VLOOKUP(A41,INDIRECT('LOCCS Import'!$R$3&amp;"$A$3"):INDIRECT('LOCCS Import'!$R$3&amp;"$O$54"),7,)</f>
        <v>3.5</v>
      </c>
      <c r="N41" s="60">
        <f ca="1">VLOOKUP(A41,INDIRECT('LOCCS Import'!$Q$3&amp;"$A$3"):INDIRECT('LOCCS Import'!$Q$3&amp;"$O$54"),7,)</f>
        <v>3.5</v>
      </c>
      <c r="O41" s="60">
        <f ca="1">VLOOKUP(A41,INDIRECT('LOCCS Import'!$P$3&amp;"$A$3"):INDIRECT('LOCCS Import'!$P$3&amp;"$O$54"),7,)</f>
        <v>3.16</v>
      </c>
      <c r="P41" s="60">
        <f ca="1">VLOOKUP(A41,INDIRECT('LOCCS Import'!$O$3&amp;"$A$3"):INDIRECT('LOCCS Import'!$O$3&amp;"$O$54"),7,)</f>
        <v>3.16</v>
      </c>
      <c r="Q41" s="60">
        <f ca="1">VLOOKUP(A41,INDIRECT('LOCCS Import'!$N$3&amp;"$A$3"):INDIRECT('LOCCS Import'!$N$3&amp;"$O$54"),7,)</f>
        <v>2.93</v>
      </c>
      <c r="R41" s="60">
        <f ca="1">VLOOKUP(A41,INDIRECT('LOCCS Import'!$M$3&amp;"$A$3"):INDIRECT('LOCCS Import'!$M$3&amp;"$O$54"),7,)</f>
        <v>2.93</v>
      </c>
      <c r="S41" s="60">
        <f ca="1">VLOOKUP(A41,INDIRECT('LOCCS Import'!$L$3&amp;"$A$3"):INDIRECT('LOCCS Import'!$L$3&amp;"$O$54"),7,)</f>
        <v>2.93</v>
      </c>
      <c r="T41" s="60">
        <f ca="1">VLOOKUP(A41,INDIRECT('LOCCS Import'!$K$3&amp;"$A$3"):INDIRECT('LOCCS Import'!$K$3&amp;"$O$54"),7,)</f>
        <v>2.78</v>
      </c>
      <c r="U41" s="60">
        <f ca="1">VLOOKUP(A41,INDIRECT('LOCCS Import'!$J$3&amp;"$A$3"):INDIRECT('LOCCS Import'!$J$3&amp;"$O$54"),7,)</f>
        <v>3.7</v>
      </c>
      <c r="V41" s="60">
        <f ca="1">VLOOKUP(A41,INDIRECT('LOCCS Import'!$I$3&amp;"$A$3"):INDIRECT('LOCCS Import'!$I$3&amp;"$O$54"),7,)</f>
        <v>3.7</v>
      </c>
      <c r="W41" s="60">
        <f ca="1">VLOOKUP(A41,INDIRECT('LOCCS Import'!$H$3&amp;"$A$3"):INDIRECT('LOCCS Import'!$H$3&amp;"$O$54"),7,)</f>
        <v>3.63</v>
      </c>
      <c r="X41" s="60">
        <f ca="1">VLOOKUP(A41,INDIRECT('LOCCS Import'!$G$3&amp;"$A$3"):INDIRECT('LOCCS Import'!$G$3&amp;"$O$54"),7,)</f>
        <v>3.58</v>
      </c>
      <c r="Y41" s="60">
        <f ca="1">VLOOKUP(A41,INDIRECT('LOCCS Import'!$F$3&amp;"$A$3"):INDIRECT('LOCCS Import'!$F$3&amp;"$O$54"),7,)</f>
        <v>3.33</v>
      </c>
      <c r="Z41" s="60">
        <f ca="1">VLOOKUP(A41,INDIRECT('LOCCS Import'!$E$3&amp;"$A$3"):INDIRECT('LOCCS Import'!$E$3&amp;"$O$54"),7,)</f>
        <v>3.31</v>
      </c>
      <c r="AA41" s="60">
        <f>VLOOKUP(A41,template!$A$3:$P$54,7,)</f>
        <v>3.22</v>
      </c>
      <c r="AB41" s="58">
        <f t="shared" ca="1" si="6"/>
        <v>3.7</v>
      </c>
      <c r="AC41" s="60">
        <f t="shared" ca="1" si="7"/>
        <v>2.78</v>
      </c>
      <c r="AD41" s="61">
        <f t="shared" ca="1" si="8"/>
        <v>3.2666666666666662</v>
      </c>
      <c r="AE41" s="84">
        <f t="shared" ca="1" si="9"/>
        <v>30</v>
      </c>
      <c r="AF41" s="138"/>
      <c r="AG41" s="3">
        <f ca="1">VLOOKUP(A41,INDIRECT('LOCCS Import'!$AA$3&amp;"$A$3"):INDIRECT('LOCCS Import'!$AA$3&amp;"$O$54"),8,)</f>
        <v>0.66</v>
      </c>
      <c r="AH41" s="1">
        <f ca="1">VLOOKUP(A41,INDIRECT('LOCCS Import'!$Z$3&amp;"$A$3"):INDIRECT('LOCCS Import'!$Z$3&amp;"$O$54"),8,)</f>
        <v>0.63</v>
      </c>
      <c r="AI41" s="1">
        <f ca="1">VLOOKUP(A41,INDIRECT('LOCCS Import'!$Y$3&amp;"$A$3"):INDIRECT('LOCCS Import'!$Y$3&amp;"$O$54"),8,)</f>
        <v>0.64</v>
      </c>
      <c r="AJ41" s="1">
        <f ca="1">VLOOKUP(A41,INDIRECT('LOCCS Import'!$X$3&amp;"$A$3"):INDIRECT('LOCCS Import'!$X$3&amp;"$O$54"),8,)</f>
        <v>1.03</v>
      </c>
      <c r="AK41" s="1">
        <f ca="1">VLOOKUP(A41,INDIRECT('LOCCS Import'!$W$3&amp;"$A$3"):INDIRECT('LOCCS Import'!$W$3&amp;"$O$54"),8,)</f>
        <v>1.1100000000000001</v>
      </c>
      <c r="AL41" s="1">
        <f ca="1">VLOOKUP(A41,INDIRECT('LOCCS Import'!$V$3&amp;"$A$3"):INDIRECT('LOCCS Import'!$V$3&amp;"$O$54"),8,)</f>
        <v>1.03</v>
      </c>
      <c r="AM41" s="1">
        <f ca="1">VLOOKUP(A41,INDIRECT('LOCCS Import'!$U$3&amp;"$A$3"):INDIRECT('LOCCS Import'!$U$3&amp;"$O$54"),8,)</f>
        <v>1.03</v>
      </c>
      <c r="AN41" s="1">
        <f ca="1">VLOOKUP(A41,INDIRECT('LOCCS Import'!$T$3&amp;"$A$3"):INDIRECT('LOCCS Import'!$T$3&amp;"$O$54"),8,)</f>
        <v>1.1200000000000001</v>
      </c>
      <c r="AO41" s="1">
        <f ca="1">VLOOKUP(A41,INDIRECT('LOCCS Import'!$S$3&amp;"$A$3"):INDIRECT('LOCCS Import'!$S$3&amp;"$O$54"),8,)</f>
        <v>1.1299999999999999</v>
      </c>
      <c r="AP41" s="1">
        <f ca="1">VLOOKUP(A41,INDIRECT('LOCCS Import'!$R$3&amp;"$A$3"):INDIRECT('LOCCS Import'!$R$3&amp;"$O$54"),8,)</f>
        <v>1.34</v>
      </c>
      <c r="AQ41" s="1">
        <f ca="1">VLOOKUP(A41,INDIRECT('LOCCS Import'!$Q$3&amp;"$A$3"):INDIRECT('LOCCS Import'!$Q$3&amp;"$O$54"),8,)</f>
        <v>1.34</v>
      </c>
      <c r="AR41" s="1">
        <f ca="1">VLOOKUP(A41,INDIRECT('LOCCS Import'!$P$3&amp;"$A$3"):INDIRECT('LOCCS Import'!$P$3&amp;"$O$54"),8,)</f>
        <v>1.68</v>
      </c>
      <c r="AS41" s="1">
        <f ca="1">VLOOKUP(A41,INDIRECT('LOCCS Import'!$O$3&amp;"$A$3"):INDIRECT('LOCCS Import'!$O$3&amp;"$O$54"),8,)</f>
        <v>1.68</v>
      </c>
      <c r="AT41" s="1">
        <f ca="1">VLOOKUP(A41,INDIRECT('LOCCS Import'!$N$3&amp;"$A$3"):INDIRECT('LOCCS Import'!$N$3&amp;"$O$54"),8,)</f>
        <v>1.9</v>
      </c>
      <c r="AU41" s="1">
        <f ca="1">VLOOKUP(A41,INDIRECT('LOCCS Import'!$M$3&amp;"$A$3"):INDIRECT('LOCCS Import'!$M$3&amp;"$O$54"),8,)</f>
        <v>1.89</v>
      </c>
      <c r="AV41" s="1">
        <f ca="1">VLOOKUP(A41,INDIRECT('LOCCS Import'!$L$3&amp;"$A$3"):INDIRECT('LOCCS Import'!$L$3&amp;"$O$54"),8,)</f>
        <v>1.3</v>
      </c>
      <c r="AW41" s="1">
        <f ca="1">VLOOKUP(A41,INDIRECT('LOCCS Import'!$K$3&amp;"$A$3"):INDIRECT('LOCCS Import'!$K$3&amp;"$O$54"),8,)</f>
        <v>1.35</v>
      </c>
      <c r="AX41" s="1">
        <f ca="1">VLOOKUP(A41,INDIRECT('LOCCS Import'!$J$3&amp;"$A$3"):INDIRECT('LOCCS Import'!$J$3&amp;"$O$54"),8,)</f>
        <v>1.37</v>
      </c>
      <c r="AY41" s="1">
        <f ca="1">VLOOKUP(A41,INDIRECT('LOCCS Import'!$I$3&amp;"$A$3"):INDIRECT('LOCCS Import'!$I$3&amp;"$O$54"),8,)</f>
        <v>1.35</v>
      </c>
      <c r="AZ41" s="1">
        <f ca="1">VLOOKUP(A41,INDIRECT('LOCCS Import'!$H$3&amp;"$A$3"):INDIRECT('LOCCS Import'!$H$3&amp;"$O$54"),8,)</f>
        <v>1.1100000000000001</v>
      </c>
      <c r="BA41" s="1">
        <f ca="1">VLOOKUP(A41,INDIRECT('LOCCS Import'!$G$3&amp;"$A$3"):INDIRECT('LOCCS Import'!$G$3&amp;"$O$54"),8,)</f>
        <v>1.1499999999999999</v>
      </c>
      <c r="BB41" s="1">
        <f ca="1">VLOOKUP(A41,INDIRECT('LOCCS Import'!$F$3&amp;"$A$3"):INDIRECT('LOCCS Import'!$F$3&amp;"$O$54"),8,)</f>
        <v>1.05</v>
      </c>
      <c r="BC41" s="1">
        <f ca="1">VLOOKUP(A41,INDIRECT('LOCCS Import'!$E$3&amp;"$A$3"):INDIRECT('LOCCS Import'!$E$3&amp;"$O$54"),8,)</f>
        <v>1.1299999999999999</v>
      </c>
      <c r="BD41" s="2">
        <f>VLOOKUP(A41,template!$A$3:$P$54,8,)</f>
        <v>0.88</v>
      </c>
      <c r="BE41" s="2">
        <f t="shared" ca="1" si="10"/>
        <v>1.3466666666666665</v>
      </c>
      <c r="BF41" s="115">
        <f t="shared" ca="1" si="5"/>
        <v>6</v>
      </c>
    </row>
    <row r="42" spans="1:58" x14ac:dyDescent="0.3">
      <c r="A42" s="67" t="s">
        <v>54</v>
      </c>
      <c r="B42" s="64" t="s">
        <v>72</v>
      </c>
      <c r="C42" s="64" t="s">
        <v>120</v>
      </c>
      <c r="D42" s="58">
        <f ca="1">VLOOKUP(A42,INDIRECT('LOCCS Import'!$AA$3&amp;"$A$3"):INDIRECT('LOCCS Import'!$AA$3&amp;"$O$54"),7,)</f>
        <v>4.17</v>
      </c>
      <c r="E42" s="60">
        <f ca="1">VLOOKUP(A42,INDIRECT('LOCCS Import'!$Z$3&amp;"$A$3"):INDIRECT('LOCCS Import'!$Z$3&amp;"$O$54"),7,)</f>
        <v>4.0999999999999996</v>
      </c>
      <c r="F42" s="60">
        <f ca="1">VLOOKUP(A42,INDIRECT('LOCCS Import'!$Y$3&amp;"$A$3"):INDIRECT('LOCCS Import'!$Y$3&amp;"$O$54"),7,)</f>
        <v>3.98</v>
      </c>
      <c r="G42" s="60">
        <f ca="1">VLOOKUP(A42,INDIRECT('LOCCS Import'!$X$3&amp;"$A$3"):INDIRECT('LOCCS Import'!$X$3&amp;"$O$54"),7,)</f>
        <v>3.86</v>
      </c>
      <c r="H42" s="60">
        <f ca="1">VLOOKUP(A42,INDIRECT('LOCCS Import'!$W$3&amp;"$A$3"):INDIRECT('LOCCS Import'!$W$3&amp;"$O$54"),7,)</f>
        <v>3.78</v>
      </c>
      <c r="I42" s="60">
        <f ca="1">VLOOKUP(A42,INDIRECT('LOCCS Import'!$V$3&amp;"$A$3"):INDIRECT('LOCCS Import'!$V$3&amp;"$O$54"),7,)</f>
        <v>3.67</v>
      </c>
      <c r="J42" s="60">
        <f ca="1">VLOOKUP(A42,INDIRECT('LOCCS Import'!$U$3&amp;"$A$3"):INDIRECT('LOCCS Import'!$U$3&amp;"$O$54"),7,)</f>
        <v>3.67</v>
      </c>
      <c r="K42" s="60">
        <f ca="1">VLOOKUP(A42,INDIRECT('LOCCS Import'!$T$3&amp;"$A$3"):INDIRECT('LOCCS Import'!$T$3&amp;"$O$54"),7,)</f>
        <v>3.51</v>
      </c>
      <c r="L42" s="60">
        <f ca="1">VLOOKUP(A42,INDIRECT('LOCCS Import'!$S$3&amp;"$A$3"):INDIRECT('LOCCS Import'!$S$3&amp;"$O$54"),7,)</f>
        <v>3.38</v>
      </c>
      <c r="M42" s="60">
        <f ca="1">VLOOKUP(A42,INDIRECT('LOCCS Import'!$R$3&amp;"$A$3"):INDIRECT('LOCCS Import'!$R$3&amp;"$O$54"),7,)</f>
        <v>3.31</v>
      </c>
      <c r="N42" s="60">
        <f ca="1">VLOOKUP(A42,INDIRECT('LOCCS Import'!$Q$3&amp;"$A$3"):INDIRECT('LOCCS Import'!$Q$3&amp;"$O$54"),7,)</f>
        <v>3.16</v>
      </c>
      <c r="O42" s="60">
        <f ca="1">VLOOKUP(A42,INDIRECT('LOCCS Import'!$P$3&amp;"$A$3"):INDIRECT('LOCCS Import'!$P$3&amp;"$O$54"),7,)</f>
        <v>4.0199999999999996</v>
      </c>
      <c r="P42" s="60">
        <f ca="1">VLOOKUP(A42,INDIRECT('LOCCS Import'!$O$3&amp;"$A$3"):INDIRECT('LOCCS Import'!$O$3&amp;"$O$54"),7,)</f>
        <v>3.92</v>
      </c>
      <c r="Q42" s="60">
        <f ca="1">VLOOKUP(A42,INDIRECT('LOCCS Import'!$N$3&amp;"$A$3"):INDIRECT('LOCCS Import'!$N$3&amp;"$O$54"),7,)</f>
        <v>3.86</v>
      </c>
      <c r="R42" s="60">
        <f ca="1">VLOOKUP(A42,INDIRECT('LOCCS Import'!$M$3&amp;"$A$3"):INDIRECT('LOCCS Import'!$M$3&amp;"$O$54"),7,)</f>
        <v>3.83</v>
      </c>
      <c r="S42" s="60">
        <f ca="1">VLOOKUP(A42,INDIRECT('LOCCS Import'!$L$3&amp;"$A$3"):INDIRECT('LOCCS Import'!$L$3&amp;"$O$54"),7,)</f>
        <v>3.79</v>
      </c>
      <c r="T42" s="60">
        <f ca="1">VLOOKUP(A42,INDIRECT('LOCCS Import'!$K$3&amp;"$A$3"):INDIRECT('LOCCS Import'!$K$3&amp;"$O$54"),7,)</f>
        <v>3.71</v>
      </c>
      <c r="U42" s="60">
        <f ca="1">VLOOKUP(A42,INDIRECT('LOCCS Import'!$J$3&amp;"$A$3"):INDIRECT('LOCCS Import'!$J$3&amp;"$O$54"),7,)</f>
        <v>3.63</v>
      </c>
      <c r="V42" s="60">
        <f ca="1">VLOOKUP(A42,INDIRECT('LOCCS Import'!$I$3&amp;"$A$3"):INDIRECT('LOCCS Import'!$I$3&amp;"$O$54"),7,)</f>
        <v>3.56</v>
      </c>
      <c r="W42" s="60">
        <f ca="1">VLOOKUP(A42,INDIRECT('LOCCS Import'!$H$3&amp;"$A$3"):INDIRECT('LOCCS Import'!$H$3&amp;"$O$54"),7,)</f>
        <v>3.36</v>
      </c>
      <c r="X42" s="60">
        <f ca="1">VLOOKUP(A42,INDIRECT('LOCCS Import'!$G$3&amp;"$A$3"):INDIRECT('LOCCS Import'!$G$3&amp;"$O$54"),7,)</f>
        <v>3.28</v>
      </c>
      <c r="Y42" s="60">
        <f ca="1">VLOOKUP(A42,INDIRECT('LOCCS Import'!$F$3&amp;"$A$3"):INDIRECT('LOCCS Import'!$F$3&amp;"$O$54"),7,)</f>
        <v>3.25</v>
      </c>
      <c r="Z42" s="60">
        <f ca="1">VLOOKUP(A42,INDIRECT('LOCCS Import'!$E$3&amp;"$A$3"):INDIRECT('LOCCS Import'!$E$3&amp;"$O$54"),7,)</f>
        <v>3.08</v>
      </c>
      <c r="AA42" s="60">
        <f>VLOOKUP(A42,template!$A$3:$P$54,7,)</f>
        <v>3.97</v>
      </c>
      <c r="AB42" s="58">
        <f t="shared" ca="1" si="6"/>
        <v>3.97</v>
      </c>
      <c r="AC42" s="60">
        <f t="shared" ca="1" si="7"/>
        <v>3.08</v>
      </c>
      <c r="AD42" s="61">
        <f t="shared" ca="1" si="8"/>
        <v>3.6033333333333331</v>
      </c>
      <c r="AE42" s="84">
        <f t="shared" ca="1" si="9"/>
        <v>35</v>
      </c>
      <c r="AF42" s="138"/>
      <c r="AG42" s="3">
        <f ca="1">VLOOKUP(A42,INDIRECT('LOCCS Import'!$AA$3&amp;"$A$3"):INDIRECT('LOCCS Import'!$AA$3&amp;"$O$54"),8,)</f>
        <v>1.27</v>
      </c>
      <c r="AH42" s="1">
        <f ca="1">VLOOKUP(A42,INDIRECT('LOCCS Import'!$Z$3&amp;"$A$3"):INDIRECT('LOCCS Import'!$Z$3&amp;"$O$54"),8,)</f>
        <v>1.28</v>
      </c>
      <c r="AI42" s="1">
        <f ca="1">VLOOKUP(A42,INDIRECT('LOCCS Import'!$Y$3&amp;"$A$3"):INDIRECT('LOCCS Import'!$Y$3&amp;"$O$54"),8,)</f>
        <v>1.3</v>
      </c>
      <c r="AJ42" s="1">
        <f ca="1">VLOOKUP(A42,INDIRECT('LOCCS Import'!$X$3&amp;"$A$3"):INDIRECT('LOCCS Import'!$X$3&amp;"$O$54"),8,)</f>
        <v>1.34</v>
      </c>
      <c r="AK42" s="1">
        <f ca="1">VLOOKUP(A42,INDIRECT('LOCCS Import'!$W$3&amp;"$A$3"):INDIRECT('LOCCS Import'!$W$3&amp;"$O$54"),8,)</f>
        <v>1.29</v>
      </c>
      <c r="AL42" s="1">
        <f ca="1">VLOOKUP(A42,INDIRECT('LOCCS Import'!$V$3&amp;"$A$3"):INDIRECT('LOCCS Import'!$V$3&amp;"$O$54"),8,)</f>
        <v>1.27</v>
      </c>
      <c r="AM42" s="1">
        <f ca="1">VLOOKUP(A42,INDIRECT('LOCCS Import'!$U$3&amp;"$A$3"):INDIRECT('LOCCS Import'!$U$3&amp;"$O$54"),8,)</f>
        <v>1.27</v>
      </c>
      <c r="AN42" s="1">
        <f ca="1">VLOOKUP(A42,INDIRECT('LOCCS Import'!$T$3&amp;"$A$3"):INDIRECT('LOCCS Import'!$T$3&amp;"$O$54"),8,)</f>
        <v>1.28</v>
      </c>
      <c r="AO42" s="1">
        <f ca="1">VLOOKUP(A42,INDIRECT('LOCCS Import'!$S$3&amp;"$A$3"):INDIRECT('LOCCS Import'!$S$3&amp;"$O$54"),8,)</f>
        <v>1.27</v>
      </c>
      <c r="AP42" s="1">
        <f ca="1">VLOOKUP(A42,INDIRECT('LOCCS Import'!$R$3&amp;"$A$3"):INDIRECT('LOCCS Import'!$R$3&amp;"$O$54"),8,)</f>
        <v>1.19</v>
      </c>
      <c r="AQ42" s="1">
        <f ca="1">VLOOKUP(A42,INDIRECT('LOCCS Import'!$Q$3&amp;"$A$3"):INDIRECT('LOCCS Import'!$Q$3&amp;"$O$54"),8,)</f>
        <v>1.34</v>
      </c>
      <c r="AR42" s="1">
        <f ca="1">VLOOKUP(A42,INDIRECT('LOCCS Import'!$P$3&amp;"$A$3"):INDIRECT('LOCCS Import'!$P$3&amp;"$O$54"),8,)</f>
        <v>1.2</v>
      </c>
      <c r="AS42" s="1">
        <f ca="1">VLOOKUP(A42,INDIRECT('LOCCS Import'!$O$3&amp;"$A$3"):INDIRECT('LOCCS Import'!$O$3&amp;"$O$54"),8,)</f>
        <v>1.1599999999999999</v>
      </c>
      <c r="AT42" s="1">
        <f ca="1">VLOOKUP(A42,INDIRECT('LOCCS Import'!$N$3&amp;"$A$3"):INDIRECT('LOCCS Import'!$N$3&amp;"$O$54"),8,)</f>
        <v>1.1599999999999999</v>
      </c>
      <c r="AU42" s="1">
        <f ca="1">VLOOKUP(A42,INDIRECT('LOCCS Import'!$M$3&amp;"$A$3"):INDIRECT('LOCCS Import'!$M$3&amp;"$O$54"),8,)</f>
        <v>1.0900000000000001</v>
      </c>
      <c r="AV42" s="1">
        <f ca="1">VLOOKUP(A42,INDIRECT('LOCCS Import'!$L$3&amp;"$A$3"):INDIRECT('LOCCS Import'!$L$3&amp;"$O$54"),8,)</f>
        <v>1</v>
      </c>
      <c r="AW42" s="1">
        <f ca="1">VLOOKUP(A42,INDIRECT('LOCCS Import'!$K$3&amp;"$A$3"):INDIRECT('LOCCS Import'!$K$3&amp;"$O$54"),8,)</f>
        <v>1.01</v>
      </c>
      <c r="AX42" s="1">
        <f ca="1">VLOOKUP(A42,INDIRECT('LOCCS Import'!$J$3&amp;"$A$3"):INDIRECT('LOCCS Import'!$J$3&amp;"$O$54"),8,)</f>
        <v>0.97</v>
      </c>
      <c r="AY42" s="1">
        <f ca="1">VLOOKUP(A42,INDIRECT('LOCCS Import'!$I$3&amp;"$A$3"):INDIRECT('LOCCS Import'!$I$3&amp;"$O$54"),8,)</f>
        <v>0.98</v>
      </c>
      <c r="AZ42" s="1">
        <f ca="1">VLOOKUP(A42,INDIRECT('LOCCS Import'!$H$3&amp;"$A$3"):INDIRECT('LOCCS Import'!$H$3&amp;"$O$54"),8,)</f>
        <v>1.0900000000000001</v>
      </c>
      <c r="BA42" s="1">
        <f ca="1">VLOOKUP(A42,INDIRECT('LOCCS Import'!$G$3&amp;"$A$3"):INDIRECT('LOCCS Import'!$G$3&amp;"$O$54"),8,)</f>
        <v>1.04</v>
      </c>
      <c r="BB42" s="1">
        <f ca="1">VLOOKUP(A42,INDIRECT('LOCCS Import'!$F$3&amp;"$A$3"):INDIRECT('LOCCS Import'!$F$3&amp;"$O$54"),8,)</f>
        <v>1.01</v>
      </c>
      <c r="BC42" s="1">
        <f ca="1">VLOOKUP(A42,INDIRECT('LOCCS Import'!$E$3&amp;"$A$3"):INDIRECT('LOCCS Import'!$E$3&amp;"$O$54"),8,)</f>
        <v>1</v>
      </c>
      <c r="BD42" s="2">
        <f>VLOOKUP(A42,template!$A$3:$P$54,8,)</f>
        <v>1.02</v>
      </c>
      <c r="BE42" s="2">
        <f t="shared" ca="1" si="10"/>
        <v>1.0441666666666667</v>
      </c>
      <c r="BF42" s="115">
        <f t="shared" ca="1" si="5"/>
        <v>15</v>
      </c>
    </row>
    <row r="43" spans="1:58" x14ac:dyDescent="0.3">
      <c r="A43" s="67" t="s">
        <v>55</v>
      </c>
      <c r="B43" s="64" t="s">
        <v>70</v>
      </c>
      <c r="C43" s="64" t="s">
        <v>121</v>
      </c>
      <c r="D43" s="58">
        <f ca="1">VLOOKUP(A43,INDIRECT('LOCCS Import'!$AA$3&amp;"$A$3"):INDIRECT('LOCCS Import'!$AA$3&amp;"$O$54"),7,)</f>
        <v>2.8</v>
      </c>
      <c r="E43" s="60">
        <f ca="1">VLOOKUP(A43,INDIRECT('LOCCS Import'!$Z$3&amp;"$A$3"):INDIRECT('LOCCS Import'!$Z$3&amp;"$O$54"),7,)</f>
        <v>3.78</v>
      </c>
      <c r="F43" s="60">
        <f ca="1">VLOOKUP(A43,INDIRECT('LOCCS Import'!$Y$3&amp;"$A$3"):INDIRECT('LOCCS Import'!$Y$3&amp;"$O$54"),7,)</f>
        <v>3.6</v>
      </c>
      <c r="G43" s="60">
        <f ca="1">VLOOKUP(A43,INDIRECT('LOCCS Import'!$X$3&amp;"$A$3"):INDIRECT('LOCCS Import'!$X$3&amp;"$O$54"),7,)</f>
        <v>3.37</v>
      </c>
      <c r="H43" s="60">
        <f ca="1">VLOOKUP(A43,INDIRECT('LOCCS Import'!$W$3&amp;"$A$3"):INDIRECT('LOCCS Import'!$W$3&amp;"$O$54"),7,)</f>
        <v>3.37</v>
      </c>
      <c r="I43" s="60">
        <f ca="1">VLOOKUP(A43,INDIRECT('LOCCS Import'!$V$3&amp;"$A$3"):INDIRECT('LOCCS Import'!$V$3&amp;"$O$54"),7,)</f>
        <v>3.32</v>
      </c>
      <c r="J43" s="60">
        <f ca="1">VLOOKUP(A43,INDIRECT('LOCCS Import'!$U$3&amp;"$A$3"):INDIRECT('LOCCS Import'!$U$3&amp;"$O$54"),7,)</f>
        <v>3.32</v>
      </c>
      <c r="K43" s="60">
        <f ca="1">VLOOKUP(A43,INDIRECT('LOCCS Import'!$T$3&amp;"$A$3"):INDIRECT('LOCCS Import'!$T$3&amp;"$O$54"),7,)</f>
        <v>3.26</v>
      </c>
      <c r="L43" s="60">
        <f ca="1">VLOOKUP(A43,INDIRECT('LOCCS Import'!$S$3&amp;"$A$3"):INDIRECT('LOCCS Import'!$S$3&amp;"$O$54"),7,)</f>
        <v>3.1</v>
      </c>
      <c r="M43" s="60">
        <f ca="1">VLOOKUP(A43,INDIRECT('LOCCS Import'!$R$3&amp;"$A$3"):INDIRECT('LOCCS Import'!$R$3&amp;"$O$54"),7,)</f>
        <v>3.1</v>
      </c>
      <c r="N43" s="60">
        <f ca="1">VLOOKUP(A43,INDIRECT('LOCCS Import'!$Q$3&amp;"$A$3"):INDIRECT('LOCCS Import'!$Q$3&amp;"$O$54"),7,)</f>
        <v>2.87</v>
      </c>
      <c r="O43" s="60">
        <f ca="1">VLOOKUP(A43,INDIRECT('LOCCS Import'!$P$3&amp;"$A$3"):INDIRECT('LOCCS Import'!$P$3&amp;"$O$54"),7,)</f>
        <v>2.5</v>
      </c>
      <c r="P43" s="60">
        <f ca="1">VLOOKUP(A43,INDIRECT('LOCCS Import'!$O$3&amp;"$A$3"):INDIRECT('LOCCS Import'!$O$3&amp;"$O$54"),7,)</f>
        <v>2.2400000000000002</v>
      </c>
      <c r="Q43" s="60">
        <f ca="1">VLOOKUP(A43,INDIRECT('LOCCS Import'!$N$3&amp;"$A$3"):INDIRECT('LOCCS Import'!$N$3&amp;"$O$54"),7,)</f>
        <v>2.13</v>
      </c>
      <c r="R43" s="60">
        <f ca="1">VLOOKUP(A43,INDIRECT('LOCCS Import'!$M$3&amp;"$A$3"):INDIRECT('LOCCS Import'!$M$3&amp;"$O$54"),7,)</f>
        <v>2.13</v>
      </c>
      <c r="S43" s="60">
        <f ca="1">VLOOKUP(A43,INDIRECT('LOCCS Import'!$L$3&amp;"$A$3"):INDIRECT('LOCCS Import'!$L$3&amp;"$O$54"),7,)</f>
        <v>3.15</v>
      </c>
      <c r="T43" s="60">
        <f ca="1">VLOOKUP(A43,INDIRECT('LOCCS Import'!$K$3&amp;"$A$3"):INDIRECT('LOCCS Import'!$K$3&amp;"$O$54"),7,)</f>
        <v>3.05</v>
      </c>
      <c r="U43" s="60">
        <f ca="1">VLOOKUP(A43,INDIRECT('LOCCS Import'!$J$3&amp;"$A$3"):INDIRECT('LOCCS Import'!$J$3&amp;"$O$54"),7,)</f>
        <v>2.97</v>
      </c>
      <c r="V43" s="60">
        <f ca="1">VLOOKUP(A43,INDIRECT('LOCCS Import'!$I$3&amp;"$A$3"):INDIRECT('LOCCS Import'!$I$3&amp;"$O$54"),7,)</f>
        <v>2.97</v>
      </c>
      <c r="W43" s="60">
        <f ca="1">VLOOKUP(A43,INDIRECT('LOCCS Import'!$H$3&amp;"$A$3"):INDIRECT('LOCCS Import'!$H$3&amp;"$O$54"),7,)</f>
        <v>2.97</v>
      </c>
      <c r="X43" s="60">
        <f ca="1">VLOOKUP(A43,INDIRECT('LOCCS Import'!$G$3&amp;"$A$3"):INDIRECT('LOCCS Import'!$G$3&amp;"$O$54"),7,)</f>
        <v>2.97</v>
      </c>
      <c r="Y43" s="60">
        <f ca="1">VLOOKUP(A43,INDIRECT('LOCCS Import'!$F$3&amp;"$A$3"):INDIRECT('LOCCS Import'!$F$3&amp;"$O$54"),7,)</f>
        <v>2.97</v>
      </c>
      <c r="Z43" s="60">
        <f ca="1">VLOOKUP(A43,INDIRECT('LOCCS Import'!$E$3&amp;"$A$3"):INDIRECT('LOCCS Import'!$E$3&amp;"$O$54"),7,)</f>
        <v>2.97</v>
      </c>
      <c r="AA43" s="60">
        <f>VLOOKUP(A43,template!$A$3:$P$54,7,)</f>
        <v>3.97</v>
      </c>
      <c r="AB43" s="58">
        <f t="shared" ca="1" si="6"/>
        <v>3.97</v>
      </c>
      <c r="AC43" s="60">
        <f t="shared" ca="1" si="7"/>
        <v>2.13</v>
      </c>
      <c r="AD43" s="61">
        <f t="shared" ca="1" si="8"/>
        <v>2.8741666666666661</v>
      </c>
      <c r="AE43" s="84">
        <f t="shared" ca="1" si="9"/>
        <v>21</v>
      </c>
      <c r="AF43" s="138"/>
      <c r="AG43" s="3">
        <f ca="1">VLOOKUP(A43,INDIRECT('LOCCS Import'!$AA$3&amp;"$A$3"):INDIRECT('LOCCS Import'!$AA$3&amp;"$O$54"),8,)</f>
        <v>1.05</v>
      </c>
      <c r="AH43" s="1">
        <f ca="1">VLOOKUP(A43,INDIRECT('LOCCS Import'!$Z$3&amp;"$A$3"):INDIRECT('LOCCS Import'!$Z$3&amp;"$O$54"),8,)</f>
        <v>1.1399999999999999</v>
      </c>
      <c r="AI43" s="1">
        <f ca="1">VLOOKUP(A43,INDIRECT('LOCCS Import'!$Y$3&amp;"$A$3"):INDIRECT('LOCCS Import'!$Y$3&amp;"$O$54"),8,)</f>
        <v>0.95</v>
      </c>
      <c r="AJ43" s="1">
        <f ca="1">VLOOKUP(A43,INDIRECT('LOCCS Import'!$X$3&amp;"$A$3"):INDIRECT('LOCCS Import'!$X$3&amp;"$O$54"),8,)</f>
        <v>1.1599999999999999</v>
      </c>
      <c r="AK43" s="1">
        <f ca="1">VLOOKUP(A43,INDIRECT('LOCCS Import'!$W$3&amp;"$A$3"):INDIRECT('LOCCS Import'!$W$3&amp;"$O$54"),8,)</f>
        <v>1.1599999999999999</v>
      </c>
      <c r="AL43" s="1">
        <f ca="1">VLOOKUP(A43,INDIRECT('LOCCS Import'!$V$3&amp;"$A$3"):INDIRECT('LOCCS Import'!$V$3&amp;"$O$54"),8,)</f>
        <v>0.81</v>
      </c>
      <c r="AM43" s="1">
        <f ca="1">VLOOKUP(A43,INDIRECT('LOCCS Import'!$U$3&amp;"$A$3"):INDIRECT('LOCCS Import'!$U$3&amp;"$O$54"),8,)</f>
        <v>0.81</v>
      </c>
      <c r="AN43" s="1">
        <f ca="1">VLOOKUP(A43,INDIRECT('LOCCS Import'!$T$3&amp;"$A$3"):INDIRECT('LOCCS Import'!$T$3&amp;"$O$54"),8,)</f>
        <v>0.79</v>
      </c>
      <c r="AO43" s="1">
        <f ca="1">VLOOKUP(A43,INDIRECT('LOCCS Import'!$S$3&amp;"$A$3"):INDIRECT('LOCCS Import'!$S$3&amp;"$O$54"),8,)</f>
        <v>0.86</v>
      </c>
      <c r="AP43" s="1">
        <f ca="1">VLOOKUP(A43,INDIRECT('LOCCS Import'!$R$3&amp;"$A$3"):INDIRECT('LOCCS Import'!$R$3&amp;"$O$54"),8,)</f>
        <v>0.86</v>
      </c>
      <c r="AQ43" s="1">
        <f ca="1">VLOOKUP(A43,INDIRECT('LOCCS Import'!$Q$3&amp;"$A$3"):INDIRECT('LOCCS Import'!$Q$3&amp;"$O$54"),8,)</f>
        <v>1.03</v>
      </c>
      <c r="AR43" s="1">
        <f ca="1">VLOOKUP(A43,INDIRECT('LOCCS Import'!$P$3&amp;"$A$3"):INDIRECT('LOCCS Import'!$P$3&amp;"$O$54"),8,)</f>
        <v>1.1299999999999999</v>
      </c>
      <c r="AS43" s="1">
        <f ca="1">VLOOKUP(A43,INDIRECT('LOCCS Import'!$O$3&amp;"$A$3"):INDIRECT('LOCCS Import'!$O$3&amp;"$O$54"),8,)</f>
        <v>1.61</v>
      </c>
      <c r="AT43" s="1">
        <f ca="1">VLOOKUP(A43,INDIRECT('LOCCS Import'!$N$3&amp;"$A$3"):INDIRECT('LOCCS Import'!$N$3&amp;"$O$54"),8,)</f>
        <v>1.65</v>
      </c>
      <c r="AU43" s="1">
        <f ca="1">VLOOKUP(A43,INDIRECT('LOCCS Import'!$M$3&amp;"$A$3"):INDIRECT('LOCCS Import'!$M$3&amp;"$O$54"),8,)</f>
        <v>1.47</v>
      </c>
      <c r="AV43" s="1">
        <f ca="1">VLOOKUP(A43,INDIRECT('LOCCS Import'!$L$3&amp;"$A$3"):INDIRECT('LOCCS Import'!$L$3&amp;"$O$54"),8,)</f>
        <v>1.24</v>
      </c>
      <c r="AW43" s="1">
        <f ca="1">VLOOKUP(A43,INDIRECT('LOCCS Import'!$K$3&amp;"$A$3"):INDIRECT('LOCCS Import'!$K$3&amp;"$O$54"),8,)</f>
        <v>1.34</v>
      </c>
      <c r="AX43" s="1">
        <f ca="1">VLOOKUP(A43,INDIRECT('LOCCS Import'!$J$3&amp;"$A$3"):INDIRECT('LOCCS Import'!$J$3&amp;"$O$54"),8,)</f>
        <v>1.37</v>
      </c>
      <c r="AY43" s="1">
        <f ca="1">VLOOKUP(A43,INDIRECT('LOCCS Import'!$I$3&amp;"$A$3"):INDIRECT('LOCCS Import'!$I$3&amp;"$O$54"),8,)</f>
        <v>1.37</v>
      </c>
      <c r="AZ43" s="1">
        <f ca="1">VLOOKUP(A43,INDIRECT('LOCCS Import'!$H$3&amp;"$A$3"):INDIRECT('LOCCS Import'!$H$3&amp;"$O$54"),8,)</f>
        <v>1.31</v>
      </c>
      <c r="BA43" s="1">
        <f ca="1">VLOOKUP(A43,INDIRECT('LOCCS Import'!$G$3&amp;"$A$3"):INDIRECT('LOCCS Import'!$G$3&amp;"$O$54"),8,)</f>
        <v>1.1499999999999999</v>
      </c>
      <c r="BB43" s="1">
        <f ca="1">VLOOKUP(A43,INDIRECT('LOCCS Import'!$F$3&amp;"$A$3"):INDIRECT('LOCCS Import'!$F$3&amp;"$O$54"),8,)</f>
        <v>1.1499999999999999</v>
      </c>
      <c r="BC43" s="1">
        <f ca="1">VLOOKUP(A43,INDIRECT('LOCCS Import'!$E$3&amp;"$A$3"):INDIRECT('LOCCS Import'!$E$3&amp;"$O$54"),8,)</f>
        <v>0.92</v>
      </c>
      <c r="BD43" s="2">
        <f>VLOOKUP(A43,template!$A$3:$P$54,8,)</f>
        <v>0.54</v>
      </c>
      <c r="BE43" s="2">
        <f t="shared" ca="1" si="10"/>
        <v>1.26</v>
      </c>
      <c r="BF43" s="115">
        <f t="shared" ca="1" si="5"/>
        <v>10</v>
      </c>
    </row>
    <row r="44" spans="1:58" x14ac:dyDescent="0.3">
      <c r="A44" s="67" t="s">
        <v>56</v>
      </c>
      <c r="B44" s="64" t="s">
        <v>73</v>
      </c>
      <c r="C44" s="64" t="s">
        <v>122</v>
      </c>
      <c r="D44" s="58">
        <f ca="1">VLOOKUP(A44,INDIRECT('LOCCS Import'!$AA$3&amp;"$A$3"):INDIRECT('LOCCS Import'!$AA$3&amp;"$O$54"),7,)</f>
        <v>3.09</v>
      </c>
      <c r="E44" s="60">
        <f ca="1">VLOOKUP(A44,INDIRECT('LOCCS Import'!$Z$3&amp;"$A$3"):INDIRECT('LOCCS Import'!$Z$3&amp;"$O$54"),7,)</f>
        <v>3.02</v>
      </c>
      <c r="F44" s="60">
        <f ca="1">VLOOKUP(A44,INDIRECT('LOCCS Import'!$Y$3&amp;"$A$3"):INDIRECT('LOCCS Import'!$Y$3&amp;"$O$54"),7,)</f>
        <v>2.92</v>
      </c>
      <c r="G44" s="60">
        <f ca="1">VLOOKUP(A44,INDIRECT('LOCCS Import'!$X$3&amp;"$A$3"):INDIRECT('LOCCS Import'!$X$3&amp;"$O$54"),7,)</f>
        <v>2.87</v>
      </c>
      <c r="H44" s="60">
        <f ca="1">VLOOKUP(A44,INDIRECT('LOCCS Import'!$W$3&amp;"$A$3"):INDIRECT('LOCCS Import'!$W$3&amp;"$O$54"),7,)</f>
        <v>2.78</v>
      </c>
      <c r="I44" s="60">
        <f ca="1">VLOOKUP(A44,INDIRECT('LOCCS Import'!$V$3&amp;"$A$3"):INDIRECT('LOCCS Import'!$V$3&amp;"$O$54"),7,)</f>
        <v>2.74</v>
      </c>
      <c r="J44" s="60">
        <f ca="1">VLOOKUP(A44,INDIRECT('LOCCS Import'!$U$3&amp;"$A$3"):INDIRECT('LOCCS Import'!$U$3&amp;"$O$54"),7,)</f>
        <v>2.74</v>
      </c>
      <c r="K44" s="60">
        <f ca="1">VLOOKUP(A44,INDIRECT('LOCCS Import'!$T$3&amp;"$A$3"):INDIRECT('LOCCS Import'!$T$3&amp;"$O$54"),7,)</f>
        <v>2.6</v>
      </c>
      <c r="L44" s="60">
        <f ca="1">VLOOKUP(A44,INDIRECT('LOCCS Import'!$S$3&amp;"$A$3"):INDIRECT('LOCCS Import'!$S$3&amp;"$O$54"),7,)</f>
        <v>2.54</v>
      </c>
      <c r="M44" s="60">
        <f ca="1">VLOOKUP(A44,INDIRECT('LOCCS Import'!$R$3&amp;"$A$3"):INDIRECT('LOCCS Import'!$R$3&amp;"$O$54"),7,)</f>
        <v>2.46</v>
      </c>
      <c r="N44" s="60">
        <f ca="1">VLOOKUP(A44,INDIRECT('LOCCS Import'!$Q$3&amp;"$A$3"):INDIRECT('LOCCS Import'!$Q$3&amp;"$O$54"),7,)</f>
        <v>2.4</v>
      </c>
      <c r="O44" s="60">
        <f ca="1">VLOOKUP(A44,INDIRECT('LOCCS Import'!$P$3&amp;"$A$3"):INDIRECT('LOCCS Import'!$P$3&amp;"$O$54"),7,)</f>
        <v>3.3</v>
      </c>
      <c r="P44" s="60">
        <f ca="1">VLOOKUP(A44,INDIRECT('LOCCS Import'!$O$3&amp;"$A$3"):INDIRECT('LOCCS Import'!$O$3&amp;"$O$54"),7,)</f>
        <v>3.27</v>
      </c>
      <c r="Q44" s="60">
        <f ca="1">VLOOKUP(A44,INDIRECT('LOCCS Import'!$N$3&amp;"$A$3"):INDIRECT('LOCCS Import'!$N$3&amp;"$O$54"),7,)</f>
        <v>3.21</v>
      </c>
      <c r="R44" s="60">
        <f ca="1">VLOOKUP(A44,INDIRECT('LOCCS Import'!$M$3&amp;"$A$3"):INDIRECT('LOCCS Import'!$M$3&amp;"$O$54"),7,)</f>
        <v>3.16</v>
      </c>
      <c r="S44" s="60">
        <f ca="1">VLOOKUP(A44,INDIRECT('LOCCS Import'!$L$3&amp;"$A$3"):INDIRECT('LOCCS Import'!$L$3&amp;"$O$54"),7,)</f>
        <v>3.12</v>
      </c>
      <c r="T44" s="60">
        <f ca="1">VLOOKUP(A44,INDIRECT('LOCCS Import'!$K$3&amp;"$A$3"):INDIRECT('LOCCS Import'!$K$3&amp;"$O$54"),7,)</f>
        <v>3.03</v>
      </c>
      <c r="U44" s="60">
        <f ca="1">VLOOKUP(A44,INDIRECT('LOCCS Import'!$J$3&amp;"$A$3"):INDIRECT('LOCCS Import'!$J$3&amp;"$O$54"),7,)</f>
        <v>2.94</v>
      </c>
      <c r="V44" s="60">
        <f ca="1">VLOOKUP(A44,INDIRECT('LOCCS Import'!$I$3&amp;"$A$3"):INDIRECT('LOCCS Import'!$I$3&amp;"$O$54"),7,)</f>
        <v>2.8</v>
      </c>
      <c r="W44" s="60">
        <f ca="1">VLOOKUP(A44,INDIRECT('LOCCS Import'!$H$3&amp;"$A$3"):INDIRECT('LOCCS Import'!$H$3&amp;"$O$54"),7,)</f>
        <v>2.75</v>
      </c>
      <c r="X44" s="60">
        <f ca="1">VLOOKUP(A44,INDIRECT('LOCCS Import'!$G$3&amp;"$A$3"):INDIRECT('LOCCS Import'!$G$3&amp;"$O$54"),7,)</f>
        <v>2.68</v>
      </c>
      <c r="Y44" s="60">
        <f ca="1">VLOOKUP(A44,INDIRECT('LOCCS Import'!$F$3&amp;"$A$3"):INDIRECT('LOCCS Import'!$F$3&amp;"$O$54"),7,)</f>
        <v>2.67</v>
      </c>
      <c r="Z44" s="60">
        <f ca="1">VLOOKUP(A44,INDIRECT('LOCCS Import'!$E$3&amp;"$A$3"):INDIRECT('LOCCS Import'!$E$3&amp;"$O$54"),7,)</f>
        <v>2.59</v>
      </c>
      <c r="AA44" s="60">
        <f>VLOOKUP(A44,template!$A$3:$P$54,7,)</f>
        <v>3.47</v>
      </c>
      <c r="AB44" s="58">
        <f t="shared" ca="1" si="6"/>
        <v>3.47</v>
      </c>
      <c r="AC44" s="60">
        <f t="shared" ca="1" si="7"/>
        <v>2.59</v>
      </c>
      <c r="AD44" s="61">
        <f t="shared" ca="1" si="8"/>
        <v>2.9741666666666666</v>
      </c>
      <c r="AE44" s="84">
        <f t="shared" ca="1" si="9"/>
        <v>24</v>
      </c>
      <c r="AF44" s="138"/>
      <c r="AG44" s="3">
        <f ca="1">VLOOKUP(A44,INDIRECT('LOCCS Import'!$AA$3&amp;"$A$3"):INDIRECT('LOCCS Import'!$AA$3&amp;"$O$54"),8,)</f>
        <v>0.96</v>
      </c>
      <c r="AH44" s="1">
        <f ca="1">VLOOKUP(A44,INDIRECT('LOCCS Import'!$Z$3&amp;"$A$3"):INDIRECT('LOCCS Import'!$Z$3&amp;"$O$54"),8,)</f>
        <v>0.94</v>
      </c>
      <c r="AI44" s="1">
        <f ca="1">VLOOKUP(A44,INDIRECT('LOCCS Import'!$Y$3&amp;"$A$3"):INDIRECT('LOCCS Import'!$Y$3&amp;"$O$54"),8,)</f>
        <v>0.95</v>
      </c>
      <c r="AJ44" s="1">
        <f ca="1">VLOOKUP(A44,INDIRECT('LOCCS Import'!$X$3&amp;"$A$3"):INDIRECT('LOCCS Import'!$X$3&amp;"$O$54"),8,)</f>
        <v>0.94</v>
      </c>
      <c r="AK44" s="1">
        <f ca="1">VLOOKUP(A44,INDIRECT('LOCCS Import'!$W$3&amp;"$A$3"):INDIRECT('LOCCS Import'!$W$3&amp;"$O$54"),8,)</f>
        <v>0.88</v>
      </c>
      <c r="AL44" s="1">
        <f ca="1">VLOOKUP(A44,INDIRECT('LOCCS Import'!$V$3&amp;"$A$3"):INDIRECT('LOCCS Import'!$V$3&amp;"$O$54"),8,)</f>
        <v>0.83</v>
      </c>
      <c r="AM44" s="1">
        <f ca="1">VLOOKUP(A44,INDIRECT('LOCCS Import'!$U$3&amp;"$A$3"):INDIRECT('LOCCS Import'!$U$3&amp;"$O$54"),8,)</f>
        <v>0.83</v>
      </c>
      <c r="AN44" s="1">
        <f ca="1">VLOOKUP(A44,INDIRECT('LOCCS Import'!$T$3&amp;"$A$3"):INDIRECT('LOCCS Import'!$T$3&amp;"$O$54"),8,)</f>
        <v>0.76</v>
      </c>
      <c r="AO44" s="1">
        <f ca="1">VLOOKUP(A44,INDIRECT('LOCCS Import'!$S$3&amp;"$A$3"):INDIRECT('LOCCS Import'!$S$3&amp;"$O$54"),8,)</f>
        <v>0.79</v>
      </c>
      <c r="AP44" s="1">
        <f ca="1">VLOOKUP(A44,INDIRECT('LOCCS Import'!$R$3&amp;"$A$3"):INDIRECT('LOCCS Import'!$R$3&amp;"$O$54"),8,)</f>
        <v>0.84</v>
      </c>
      <c r="AQ44" s="1">
        <f ca="1">VLOOKUP(A44,INDIRECT('LOCCS Import'!$Q$3&amp;"$A$3"):INDIRECT('LOCCS Import'!$Q$3&amp;"$O$54"),8,)</f>
        <v>0.87</v>
      </c>
      <c r="AR44" s="1">
        <f ca="1">VLOOKUP(A44,INDIRECT('LOCCS Import'!$P$3&amp;"$A$3"):INDIRECT('LOCCS Import'!$P$3&amp;"$O$54"),8,)</f>
        <v>0.94</v>
      </c>
      <c r="AS44" s="1">
        <f ca="1">VLOOKUP(A44,INDIRECT('LOCCS Import'!$O$3&amp;"$A$3"):INDIRECT('LOCCS Import'!$O$3&amp;"$O$54"),8,)</f>
        <v>0.83</v>
      </c>
      <c r="AT44" s="1">
        <f ca="1">VLOOKUP(A44,INDIRECT('LOCCS Import'!$N$3&amp;"$A$3"):INDIRECT('LOCCS Import'!$N$3&amp;"$O$54"),8,)</f>
        <v>0.82</v>
      </c>
      <c r="AU44" s="1">
        <f ca="1">VLOOKUP(A44,INDIRECT('LOCCS Import'!$M$3&amp;"$A$3"):INDIRECT('LOCCS Import'!$M$3&amp;"$O$54"),8,)</f>
        <v>0.77</v>
      </c>
      <c r="AV44" s="1">
        <f ca="1">VLOOKUP(A44,INDIRECT('LOCCS Import'!$L$3&amp;"$A$3"):INDIRECT('LOCCS Import'!$L$3&amp;"$O$54"),8,)</f>
        <v>0.76</v>
      </c>
      <c r="AW44" s="1">
        <f ca="1">VLOOKUP(A44,INDIRECT('LOCCS Import'!$K$3&amp;"$A$3"):INDIRECT('LOCCS Import'!$K$3&amp;"$O$54"),8,)</f>
        <v>0.76</v>
      </c>
      <c r="AX44" s="1">
        <f ca="1">VLOOKUP(A44,INDIRECT('LOCCS Import'!$J$3&amp;"$A$3"):INDIRECT('LOCCS Import'!$J$3&amp;"$O$54"),8,)</f>
        <v>0.81</v>
      </c>
      <c r="AY44" s="1">
        <f ca="1">VLOOKUP(A44,INDIRECT('LOCCS Import'!$I$3&amp;"$A$3"):INDIRECT('LOCCS Import'!$I$3&amp;"$O$54"),8,)</f>
        <v>0.86</v>
      </c>
      <c r="AZ44" s="1">
        <f ca="1">VLOOKUP(A44,INDIRECT('LOCCS Import'!$H$3&amp;"$A$3"):INDIRECT('LOCCS Import'!$H$3&amp;"$O$54"),8,)</f>
        <v>0.87</v>
      </c>
      <c r="BA44" s="1">
        <f ca="1">VLOOKUP(A44,INDIRECT('LOCCS Import'!$G$3&amp;"$A$3"):INDIRECT('LOCCS Import'!$G$3&amp;"$O$54"),8,)</f>
        <v>0.85</v>
      </c>
      <c r="BB44" s="1">
        <f ca="1">VLOOKUP(A44,INDIRECT('LOCCS Import'!$F$3&amp;"$A$3"):INDIRECT('LOCCS Import'!$F$3&amp;"$O$54"),8,)</f>
        <v>0.8</v>
      </c>
      <c r="BC44" s="1">
        <f ca="1">VLOOKUP(A44,INDIRECT('LOCCS Import'!$E$3&amp;"$A$3"):INDIRECT('LOCCS Import'!$E$3&amp;"$O$54"),8,)</f>
        <v>0.81</v>
      </c>
      <c r="BD44" s="2">
        <f>VLOOKUP(A44,template!$A$3:$P$54,8,)</f>
        <v>0.73</v>
      </c>
      <c r="BE44" s="2">
        <f t="shared" ca="1" si="10"/>
        <v>0.80583333333333351</v>
      </c>
      <c r="BF44" s="115">
        <f t="shared" ca="1" si="5"/>
        <v>41</v>
      </c>
    </row>
    <row r="45" spans="1:58" x14ac:dyDescent="0.3">
      <c r="A45" s="67" t="s">
        <v>57</v>
      </c>
      <c r="B45" s="64" t="s">
        <v>71</v>
      </c>
      <c r="C45" s="64" t="s">
        <v>123</v>
      </c>
      <c r="D45" s="58">
        <f ca="1">VLOOKUP(A45,INDIRECT('LOCCS Import'!$AA$3&amp;"$A$3"):INDIRECT('LOCCS Import'!$AA$3&amp;"$O$54"),7,)</f>
        <v>3</v>
      </c>
      <c r="E45" s="60">
        <f ca="1">VLOOKUP(A45,INDIRECT('LOCCS Import'!$Z$3&amp;"$A$3"):INDIRECT('LOCCS Import'!$Z$3&amp;"$O$54"),7,)</f>
        <v>2.93</v>
      </c>
      <c r="F45" s="60">
        <f ca="1">VLOOKUP(A45,INDIRECT('LOCCS Import'!$Y$3&amp;"$A$3"):INDIRECT('LOCCS Import'!$Y$3&amp;"$O$54"),7,)</f>
        <v>2.84</v>
      </c>
      <c r="G45" s="60">
        <f ca="1">VLOOKUP(A45,INDIRECT('LOCCS Import'!$X$3&amp;"$A$3"):INDIRECT('LOCCS Import'!$X$3&amp;"$O$54"),7,)</f>
        <v>2.65</v>
      </c>
      <c r="H45" s="60">
        <f ca="1">VLOOKUP(A45,INDIRECT('LOCCS Import'!$W$3&amp;"$A$3"):INDIRECT('LOCCS Import'!$W$3&amp;"$O$54"),7,)</f>
        <v>2.62</v>
      </c>
      <c r="I45" s="60">
        <f ca="1">VLOOKUP(A45,INDIRECT('LOCCS Import'!$V$3&amp;"$A$3"):INDIRECT('LOCCS Import'!$V$3&amp;"$O$54"),7,)</f>
        <v>2.56</v>
      </c>
      <c r="J45" s="60">
        <f ca="1">VLOOKUP(A45,INDIRECT('LOCCS Import'!$U$3&amp;"$A$3"):INDIRECT('LOCCS Import'!$U$3&amp;"$O$54"),7,)</f>
        <v>2.56</v>
      </c>
      <c r="K45" s="60">
        <f ca="1">VLOOKUP(A45,INDIRECT('LOCCS Import'!$T$3&amp;"$A$3"):INDIRECT('LOCCS Import'!$T$3&amp;"$O$54"),7,)</f>
        <v>2.36</v>
      </c>
      <c r="L45" s="60">
        <f ca="1">VLOOKUP(A45,INDIRECT('LOCCS Import'!$S$3&amp;"$A$3"):INDIRECT('LOCCS Import'!$S$3&amp;"$O$54"),7,)</f>
        <v>2.27</v>
      </c>
      <c r="M45" s="60">
        <f ca="1">VLOOKUP(A45,INDIRECT('LOCCS Import'!$R$3&amp;"$A$3"):INDIRECT('LOCCS Import'!$R$3&amp;"$O$54"),7,)</f>
        <v>2.1800000000000002</v>
      </c>
      <c r="N45" s="60">
        <f ca="1">VLOOKUP(A45,INDIRECT('LOCCS Import'!$Q$3&amp;"$A$3"):INDIRECT('LOCCS Import'!$Q$3&amp;"$O$54"),7,)</f>
        <v>2.06</v>
      </c>
      <c r="O45" s="60">
        <f ca="1">VLOOKUP(A45,INDIRECT('LOCCS Import'!$P$3&amp;"$A$3"):INDIRECT('LOCCS Import'!$P$3&amp;"$O$54"),7,)</f>
        <v>2.97</v>
      </c>
      <c r="P45" s="60">
        <f ca="1">VLOOKUP(A45,INDIRECT('LOCCS Import'!$O$3&amp;"$A$3"):INDIRECT('LOCCS Import'!$O$3&amp;"$O$54"),7,)</f>
        <v>2.9</v>
      </c>
      <c r="Q45" s="60">
        <f ca="1">VLOOKUP(A45,INDIRECT('LOCCS Import'!$N$3&amp;"$A$3"):INDIRECT('LOCCS Import'!$N$3&amp;"$O$54"),7,)</f>
        <v>2.86</v>
      </c>
      <c r="R45" s="60">
        <f ca="1">VLOOKUP(A45,INDIRECT('LOCCS Import'!$M$3&amp;"$A$3"):INDIRECT('LOCCS Import'!$M$3&amp;"$O$54"),7,)</f>
        <v>2.81</v>
      </c>
      <c r="S45" s="60">
        <f ca="1">VLOOKUP(A45,INDIRECT('LOCCS Import'!$L$3&amp;"$A$3"):INDIRECT('LOCCS Import'!$L$3&amp;"$O$54"),7,)</f>
        <v>2.78</v>
      </c>
      <c r="T45" s="60">
        <f ca="1">VLOOKUP(A45,INDIRECT('LOCCS Import'!$K$3&amp;"$A$3"):INDIRECT('LOCCS Import'!$K$3&amp;"$O$54"),7,)</f>
        <v>2.72</v>
      </c>
      <c r="U45" s="60">
        <f ca="1">VLOOKUP(A45,INDIRECT('LOCCS Import'!$J$3&amp;"$A$3"):INDIRECT('LOCCS Import'!$J$3&amp;"$O$54"),7,)</f>
        <v>2.62</v>
      </c>
      <c r="V45" s="60">
        <f ca="1">VLOOKUP(A45,INDIRECT('LOCCS Import'!$I$3&amp;"$A$3"):INDIRECT('LOCCS Import'!$I$3&amp;"$O$54"),7,)</f>
        <v>2.52</v>
      </c>
      <c r="W45" s="60">
        <f ca="1">VLOOKUP(A45,INDIRECT('LOCCS Import'!$H$3&amp;"$A$3"):INDIRECT('LOCCS Import'!$H$3&amp;"$O$54"),7,)</f>
        <v>2.44</v>
      </c>
      <c r="X45" s="60">
        <f ca="1">VLOOKUP(A45,INDIRECT('LOCCS Import'!$G$3&amp;"$A$3"):INDIRECT('LOCCS Import'!$G$3&amp;"$O$54"),7,)</f>
        <v>2.38</v>
      </c>
      <c r="Y45" s="60">
        <f ca="1">VLOOKUP(A45,INDIRECT('LOCCS Import'!$F$3&amp;"$A$3"):INDIRECT('LOCCS Import'!$F$3&amp;"$O$54"),7,)</f>
        <v>2.2999999999999998</v>
      </c>
      <c r="Z45" s="60">
        <f ca="1">VLOOKUP(A45,INDIRECT('LOCCS Import'!$E$3&amp;"$A$3"):INDIRECT('LOCCS Import'!$E$3&amp;"$O$54"),7,)</f>
        <v>2.2000000000000002</v>
      </c>
      <c r="AA45" s="60">
        <f>VLOOKUP(A45,template!$A$3:$P$54,7,)</f>
        <v>2.14</v>
      </c>
      <c r="AB45" s="58">
        <f t="shared" ca="1" si="6"/>
        <v>2.9</v>
      </c>
      <c r="AC45" s="60">
        <f t="shared" ca="1" si="7"/>
        <v>2.14</v>
      </c>
      <c r="AD45" s="61">
        <f t="shared" ca="1" si="8"/>
        <v>2.5558333333333336</v>
      </c>
      <c r="AE45" s="84">
        <f t="shared" ca="1" si="9"/>
        <v>15</v>
      </c>
      <c r="AF45" s="138"/>
      <c r="AG45" s="3">
        <f ca="1">VLOOKUP(A45,INDIRECT('LOCCS Import'!$AA$3&amp;"$A$3"):INDIRECT('LOCCS Import'!$AA$3&amp;"$O$54"),8,)</f>
        <v>1.05</v>
      </c>
      <c r="AH45" s="1">
        <f ca="1">VLOOKUP(A45,INDIRECT('LOCCS Import'!$Z$3&amp;"$A$3"):INDIRECT('LOCCS Import'!$Z$3&amp;"$O$54"),8,)</f>
        <v>1.06</v>
      </c>
      <c r="AI45" s="1">
        <f ca="1">VLOOKUP(A45,INDIRECT('LOCCS Import'!$Y$3&amp;"$A$3"):INDIRECT('LOCCS Import'!$Y$3&amp;"$O$54"),8,)</f>
        <v>1.07</v>
      </c>
      <c r="AJ45" s="1">
        <f ca="1">VLOOKUP(A45,INDIRECT('LOCCS Import'!$X$3&amp;"$A$3"):INDIRECT('LOCCS Import'!$X$3&amp;"$O$54"),8,)</f>
        <v>1.17</v>
      </c>
      <c r="AK45" s="1">
        <f ca="1">VLOOKUP(A45,INDIRECT('LOCCS Import'!$W$3&amp;"$A$3"):INDIRECT('LOCCS Import'!$W$3&amp;"$O$54"),8,)</f>
        <v>1.1100000000000001</v>
      </c>
      <c r="AL45" s="1">
        <f ca="1">VLOOKUP(A45,INDIRECT('LOCCS Import'!$V$3&amp;"$A$3"):INDIRECT('LOCCS Import'!$V$3&amp;"$O$54"),8,)</f>
        <v>1.1000000000000001</v>
      </c>
      <c r="AM45" s="1">
        <f ca="1">VLOOKUP(A45,INDIRECT('LOCCS Import'!$U$3&amp;"$A$3"):INDIRECT('LOCCS Import'!$U$3&amp;"$O$54"),8,)</f>
        <v>1.1000000000000001</v>
      </c>
      <c r="AN45" s="1">
        <f ca="1">VLOOKUP(A45,INDIRECT('LOCCS Import'!$T$3&amp;"$A$3"):INDIRECT('LOCCS Import'!$T$3&amp;"$O$54"),8,)</f>
        <v>1.07</v>
      </c>
      <c r="AO45" s="1">
        <f ca="1">VLOOKUP(A45,INDIRECT('LOCCS Import'!$S$3&amp;"$A$3"):INDIRECT('LOCCS Import'!$S$3&amp;"$O$54"),8,)</f>
        <v>1.07</v>
      </c>
      <c r="AP45" s="1">
        <f ca="1">VLOOKUP(A45,INDIRECT('LOCCS Import'!$R$3&amp;"$A$3"):INDIRECT('LOCCS Import'!$R$3&amp;"$O$54"),8,)</f>
        <v>1.06</v>
      </c>
      <c r="AQ45" s="1">
        <f ca="1">VLOOKUP(A45,INDIRECT('LOCCS Import'!$Q$3&amp;"$A$3"):INDIRECT('LOCCS Import'!$Q$3&amp;"$O$54"),8,)</f>
        <v>1.1200000000000001</v>
      </c>
      <c r="AR45" s="1">
        <f ca="1">VLOOKUP(A45,INDIRECT('LOCCS Import'!$P$3&amp;"$A$3"):INDIRECT('LOCCS Import'!$P$3&amp;"$O$54"),8,)</f>
        <v>1.0900000000000001</v>
      </c>
      <c r="AS45" s="1">
        <f ca="1">VLOOKUP(A45,INDIRECT('LOCCS Import'!$O$3&amp;"$A$3"):INDIRECT('LOCCS Import'!$O$3&amp;"$O$54"),8,)</f>
        <v>1.07</v>
      </c>
      <c r="AT45" s="1">
        <f ca="1">VLOOKUP(A45,INDIRECT('LOCCS Import'!$N$3&amp;"$A$3"):INDIRECT('LOCCS Import'!$N$3&amp;"$O$54"),8,)</f>
        <v>1.05</v>
      </c>
      <c r="AU45" s="1">
        <f ca="1">VLOOKUP(A45,INDIRECT('LOCCS Import'!$M$3&amp;"$A$3"):INDIRECT('LOCCS Import'!$M$3&amp;"$O$54"),8,)</f>
        <v>1.01</v>
      </c>
      <c r="AV45" s="1">
        <f ca="1">VLOOKUP(A45,INDIRECT('LOCCS Import'!$L$3&amp;"$A$3"):INDIRECT('LOCCS Import'!$L$3&amp;"$O$54"),8,)</f>
        <v>0.85</v>
      </c>
      <c r="AW45" s="1">
        <f ca="1">VLOOKUP(A45,INDIRECT('LOCCS Import'!$K$3&amp;"$A$3"):INDIRECT('LOCCS Import'!$K$3&amp;"$O$54"),8,)</f>
        <v>0.88</v>
      </c>
      <c r="AX45" s="1">
        <f ca="1">VLOOKUP(A45,INDIRECT('LOCCS Import'!$J$3&amp;"$A$3"):INDIRECT('LOCCS Import'!$J$3&amp;"$O$54"),8,)</f>
        <v>0.92</v>
      </c>
      <c r="AY45" s="1">
        <f ca="1">VLOOKUP(A45,INDIRECT('LOCCS Import'!$I$3&amp;"$A$3"):INDIRECT('LOCCS Import'!$I$3&amp;"$O$54"),8,)</f>
        <v>0.91</v>
      </c>
      <c r="AZ45" s="1">
        <f ca="1">VLOOKUP(A45,INDIRECT('LOCCS Import'!$H$3&amp;"$A$3"):INDIRECT('LOCCS Import'!$H$3&amp;"$O$54"),8,)</f>
        <v>0.88</v>
      </c>
      <c r="BA45" s="1">
        <f ca="1">VLOOKUP(A45,INDIRECT('LOCCS Import'!$G$3&amp;"$A$3"):INDIRECT('LOCCS Import'!$G$3&amp;"$O$54"),8,)</f>
        <v>0.87</v>
      </c>
      <c r="BB45" s="1">
        <f ca="1">VLOOKUP(A45,INDIRECT('LOCCS Import'!$F$3&amp;"$A$3"):INDIRECT('LOCCS Import'!$F$3&amp;"$O$54"),8,)</f>
        <v>0.86</v>
      </c>
      <c r="BC45" s="1">
        <f ca="1">VLOOKUP(A45,INDIRECT('LOCCS Import'!$E$3&amp;"$A$3"):INDIRECT('LOCCS Import'!$E$3&amp;"$O$54"),8,)</f>
        <v>0.85</v>
      </c>
      <c r="BD45" s="2">
        <f>VLOOKUP(A45,template!$A$3:$P$54,8,)</f>
        <v>0.83</v>
      </c>
      <c r="BE45" s="2">
        <f t="shared" ca="1" si="10"/>
        <v>0.91499999999999992</v>
      </c>
      <c r="BF45" s="115">
        <f t="shared" ca="1" si="5"/>
        <v>23</v>
      </c>
    </row>
    <row r="46" spans="1:58" x14ac:dyDescent="0.3">
      <c r="A46" s="67" t="s">
        <v>58</v>
      </c>
      <c r="B46" s="64" t="s">
        <v>72</v>
      </c>
      <c r="C46" s="64" t="s">
        <v>124</v>
      </c>
      <c r="D46" s="58">
        <f ca="1">VLOOKUP(A46,INDIRECT('LOCCS Import'!$AA$3&amp;"$A$3"):INDIRECT('LOCCS Import'!$AA$3&amp;"$O$54"),7,)</f>
        <v>2.08</v>
      </c>
      <c r="E46" s="60">
        <f ca="1">VLOOKUP(A46,INDIRECT('LOCCS Import'!$Z$3&amp;"$A$3"):INDIRECT('LOCCS Import'!$Z$3&amp;"$O$54"),7,)</f>
        <v>2</v>
      </c>
      <c r="F46" s="60">
        <f ca="1">VLOOKUP(A46,INDIRECT('LOCCS Import'!$Y$3&amp;"$A$3"):INDIRECT('LOCCS Import'!$Y$3&amp;"$O$54"),7,)</f>
        <v>1.86</v>
      </c>
      <c r="G46" s="60">
        <f ca="1">VLOOKUP(A46,INDIRECT('LOCCS Import'!$X$3&amp;"$A$3"):INDIRECT('LOCCS Import'!$X$3&amp;"$O$54"),7,)</f>
        <v>1.83</v>
      </c>
      <c r="H46" s="60">
        <f ca="1">VLOOKUP(A46,INDIRECT('LOCCS Import'!$W$3&amp;"$A$3"):INDIRECT('LOCCS Import'!$W$3&amp;"$O$54"),7,)</f>
        <v>1.63</v>
      </c>
      <c r="I46" s="60">
        <f ca="1">VLOOKUP(A46,INDIRECT('LOCCS Import'!$V$3&amp;"$A$3"):INDIRECT('LOCCS Import'!$V$3&amp;"$O$54"),7,)</f>
        <v>1.57</v>
      </c>
      <c r="J46" s="60">
        <f ca="1">VLOOKUP(A46,INDIRECT('LOCCS Import'!$U$3&amp;"$A$3"):INDIRECT('LOCCS Import'!$U$3&amp;"$O$54"),7,)</f>
        <v>1.57</v>
      </c>
      <c r="K46" s="60">
        <f ca="1">VLOOKUP(A46,INDIRECT('LOCCS Import'!$T$3&amp;"$A$3"):INDIRECT('LOCCS Import'!$T$3&amp;"$O$54"),7,)</f>
        <v>1.57</v>
      </c>
      <c r="L46" s="60">
        <f ca="1">VLOOKUP(A46,INDIRECT('LOCCS Import'!$S$3&amp;"$A$3"):INDIRECT('LOCCS Import'!$S$3&amp;"$O$54"),7,)</f>
        <v>1.27</v>
      </c>
      <c r="M46" s="60">
        <f ca="1">VLOOKUP(A46,INDIRECT('LOCCS Import'!$R$3&amp;"$A$3"):INDIRECT('LOCCS Import'!$R$3&amp;"$O$54"),7,)</f>
        <v>0.87</v>
      </c>
      <c r="N46" s="60">
        <f ca="1">VLOOKUP(A46,INDIRECT('LOCCS Import'!$Q$3&amp;"$A$3"):INDIRECT('LOCCS Import'!$Q$3&amp;"$O$54"),7,)</f>
        <v>0.87</v>
      </c>
      <c r="O46" s="60">
        <f ca="1">VLOOKUP(A46,INDIRECT('LOCCS Import'!$P$3&amp;"$A$3"):INDIRECT('LOCCS Import'!$P$3&amp;"$O$54"),7,)</f>
        <v>0.87</v>
      </c>
      <c r="P46" s="60">
        <f ca="1">VLOOKUP(A46,INDIRECT('LOCCS Import'!$O$3&amp;"$A$3"):INDIRECT('LOCCS Import'!$O$3&amp;"$O$54"),7,)</f>
        <v>0.87</v>
      </c>
      <c r="Q46" s="60">
        <f ca="1">VLOOKUP(A46,INDIRECT('LOCCS Import'!$N$3&amp;"$A$3"):INDIRECT('LOCCS Import'!$N$3&amp;"$O$54"),7,)</f>
        <v>0.82</v>
      </c>
      <c r="R46" s="60">
        <f ca="1">VLOOKUP(A46,INDIRECT('LOCCS Import'!$M$3&amp;"$A$3"):INDIRECT('LOCCS Import'!$M$3&amp;"$O$54"),7,)</f>
        <v>1.79</v>
      </c>
      <c r="S46" s="60">
        <f ca="1">VLOOKUP(A46,INDIRECT('LOCCS Import'!$L$3&amp;"$A$3"):INDIRECT('LOCCS Import'!$L$3&amp;"$O$54"),7,)</f>
        <v>1.75</v>
      </c>
      <c r="T46" s="60">
        <f ca="1">VLOOKUP(A46,INDIRECT('LOCCS Import'!$K$3&amp;"$A$3"):INDIRECT('LOCCS Import'!$K$3&amp;"$O$54"),7,)</f>
        <v>1.72</v>
      </c>
      <c r="U46" s="60">
        <f ca="1">VLOOKUP(A46,INDIRECT('LOCCS Import'!$J$3&amp;"$A$3"):INDIRECT('LOCCS Import'!$J$3&amp;"$O$54"),7,)</f>
        <v>1.71</v>
      </c>
      <c r="V46" s="60">
        <f ca="1">VLOOKUP(A46,INDIRECT('LOCCS Import'!$I$3&amp;"$A$3"):INDIRECT('LOCCS Import'!$I$3&amp;"$O$54"),7,)</f>
        <v>1.62</v>
      </c>
      <c r="W46" s="60">
        <f ca="1">VLOOKUP(A46,INDIRECT('LOCCS Import'!$H$3&amp;"$A$3"):INDIRECT('LOCCS Import'!$H$3&amp;"$O$54"),7,)</f>
        <v>1.62</v>
      </c>
      <c r="X46" s="60">
        <f ca="1">VLOOKUP(A46,INDIRECT('LOCCS Import'!$G$3&amp;"$A$3"):INDIRECT('LOCCS Import'!$G$3&amp;"$O$54"),7,)</f>
        <v>1.4</v>
      </c>
      <c r="Y46" s="60">
        <f ca="1">VLOOKUP(A46,INDIRECT('LOCCS Import'!$F$3&amp;"$A$3"):INDIRECT('LOCCS Import'!$F$3&amp;"$O$54"),7,)</f>
        <v>1.3</v>
      </c>
      <c r="Z46" s="60">
        <f ca="1">VLOOKUP(A46,INDIRECT('LOCCS Import'!$E$3&amp;"$A$3"):INDIRECT('LOCCS Import'!$E$3&amp;"$O$54"),7,)</f>
        <v>1.3</v>
      </c>
      <c r="AA46" s="60">
        <f>VLOOKUP(A46,template!$A$3:$P$54,7,)</f>
        <v>2.21</v>
      </c>
      <c r="AB46" s="58">
        <f t="shared" ca="1" si="6"/>
        <v>2.21</v>
      </c>
      <c r="AC46" s="60">
        <f t="shared" ca="1" si="7"/>
        <v>0.82</v>
      </c>
      <c r="AD46" s="61">
        <f t="shared" ca="1" si="8"/>
        <v>1.509166666666667</v>
      </c>
      <c r="AE46" s="84">
        <f t="shared" ca="1" si="9"/>
        <v>2</v>
      </c>
      <c r="AF46" s="138"/>
      <c r="AG46" s="3">
        <f ca="1">VLOOKUP(A46,INDIRECT('LOCCS Import'!$AA$3&amp;"$A$3"):INDIRECT('LOCCS Import'!$AA$3&amp;"$O$54"),8,)</f>
        <v>1.02</v>
      </c>
      <c r="AH46" s="1">
        <f ca="1">VLOOKUP(A46,INDIRECT('LOCCS Import'!$Z$3&amp;"$A$3"):INDIRECT('LOCCS Import'!$Z$3&amp;"$O$54"),8,)</f>
        <v>1.06</v>
      </c>
      <c r="AI46" s="1">
        <f ca="1">VLOOKUP(A46,INDIRECT('LOCCS Import'!$Y$3&amp;"$A$3"):INDIRECT('LOCCS Import'!$Y$3&amp;"$O$54"),8,)</f>
        <v>1.2</v>
      </c>
      <c r="AJ46" s="1">
        <f ca="1">VLOOKUP(A46,INDIRECT('LOCCS Import'!$X$3&amp;"$A$3"):INDIRECT('LOCCS Import'!$X$3&amp;"$O$54"),8,)</f>
        <v>0.88</v>
      </c>
      <c r="AK46" s="1">
        <f ca="1">VLOOKUP(A46,INDIRECT('LOCCS Import'!$W$3&amp;"$A$3"):INDIRECT('LOCCS Import'!$W$3&amp;"$O$54"),8,)</f>
        <v>0.88</v>
      </c>
      <c r="AL46" s="1">
        <f ca="1">VLOOKUP(A46,INDIRECT('LOCCS Import'!$V$3&amp;"$A$3"):INDIRECT('LOCCS Import'!$V$3&amp;"$O$54"),8,)</f>
        <v>1.01</v>
      </c>
      <c r="AM46" s="1">
        <f ca="1">VLOOKUP(A46,INDIRECT('LOCCS Import'!$U$3&amp;"$A$3"):INDIRECT('LOCCS Import'!$U$3&amp;"$O$54"),8,)</f>
        <v>1.01</v>
      </c>
      <c r="AN46" s="1">
        <f ca="1">VLOOKUP(A46,INDIRECT('LOCCS Import'!$T$3&amp;"$A$3"):INDIRECT('LOCCS Import'!$T$3&amp;"$O$54"),8,)</f>
        <v>0.84</v>
      </c>
      <c r="AO46" s="1">
        <f ca="1">VLOOKUP(A46,INDIRECT('LOCCS Import'!$S$3&amp;"$A$3"):INDIRECT('LOCCS Import'!$S$3&amp;"$O$54"),8,)</f>
        <v>1.02</v>
      </c>
      <c r="AP46" s="1">
        <f ca="1">VLOOKUP(A46,INDIRECT('LOCCS Import'!$R$3&amp;"$A$3"):INDIRECT('LOCCS Import'!$R$3&amp;"$O$54"),8,)</f>
        <v>1.26</v>
      </c>
      <c r="AQ46" s="1">
        <f ca="1">VLOOKUP(A46,INDIRECT('LOCCS Import'!$Q$3&amp;"$A$3"):INDIRECT('LOCCS Import'!$Q$3&amp;"$O$54"),8,)</f>
        <v>1.27</v>
      </c>
      <c r="AR46" s="1">
        <f ca="1">VLOOKUP(A46,INDIRECT('LOCCS Import'!$P$3&amp;"$A$3"):INDIRECT('LOCCS Import'!$P$3&amp;"$O$54"),8,)</f>
        <v>1.27</v>
      </c>
      <c r="AS46" s="1">
        <f ca="1">VLOOKUP(A46,INDIRECT('LOCCS Import'!$O$3&amp;"$A$3"):INDIRECT('LOCCS Import'!$O$3&amp;"$O$54"),8,)</f>
        <v>1.21</v>
      </c>
      <c r="AT46" s="1">
        <f ca="1">VLOOKUP(A46,INDIRECT('LOCCS Import'!$N$3&amp;"$A$3"):INDIRECT('LOCCS Import'!$N$3&amp;"$O$54"),8,)</f>
        <v>1.18</v>
      </c>
      <c r="AU46" s="1">
        <f ca="1">VLOOKUP(A46,INDIRECT('LOCCS Import'!$M$3&amp;"$A$3"):INDIRECT('LOCCS Import'!$M$3&amp;"$O$54"),8,)</f>
        <v>1.05</v>
      </c>
      <c r="AV46" s="1">
        <f ca="1">VLOOKUP(A46,INDIRECT('LOCCS Import'!$L$3&amp;"$A$3"):INDIRECT('LOCCS Import'!$L$3&amp;"$O$54"),8,)</f>
        <v>1.07</v>
      </c>
      <c r="AW46" s="1">
        <f ca="1">VLOOKUP(A46,INDIRECT('LOCCS Import'!$K$3&amp;"$A$3"):INDIRECT('LOCCS Import'!$K$3&amp;"$O$54"),8,)</f>
        <v>0.88</v>
      </c>
      <c r="AX46" s="1">
        <f ca="1">VLOOKUP(A46,INDIRECT('LOCCS Import'!$J$3&amp;"$A$3"):INDIRECT('LOCCS Import'!$J$3&amp;"$O$54"),8,)</f>
        <v>0.84</v>
      </c>
      <c r="AY46" s="1">
        <f ca="1">VLOOKUP(A46,INDIRECT('LOCCS Import'!$I$3&amp;"$A$3"):INDIRECT('LOCCS Import'!$I$3&amp;"$O$54"),8,)</f>
        <v>0.93</v>
      </c>
      <c r="AZ46" s="1">
        <f ca="1">VLOOKUP(A46,INDIRECT('LOCCS Import'!$H$3&amp;"$A$3"):INDIRECT('LOCCS Import'!$H$3&amp;"$O$54"),8,)</f>
        <v>0.93</v>
      </c>
      <c r="BA46" s="1">
        <f ca="1">VLOOKUP(A46,INDIRECT('LOCCS Import'!$G$3&amp;"$A$3"):INDIRECT('LOCCS Import'!$G$3&amp;"$O$54"),8,)</f>
        <v>0.86</v>
      </c>
      <c r="BB46" s="1">
        <f ca="1">VLOOKUP(A46,INDIRECT('LOCCS Import'!$F$3&amp;"$A$3"):INDIRECT('LOCCS Import'!$F$3&amp;"$O$54"),8,)</f>
        <v>0.56000000000000005</v>
      </c>
      <c r="BC46" s="1">
        <f ca="1">VLOOKUP(A46,INDIRECT('LOCCS Import'!$E$3&amp;"$A$3"):INDIRECT('LOCCS Import'!$E$3&amp;"$O$54"),8,)</f>
        <v>0.56000000000000005</v>
      </c>
      <c r="BD46" s="2">
        <f>VLOOKUP(A46,template!$A$3:$P$54,8,)</f>
        <v>0.67</v>
      </c>
      <c r="BE46" s="2">
        <f t="shared" ca="1" si="10"/>
        <v>0.89500000000000002</v>
      </c>
      <c r="BF46" s="115">
        <f t="shared" ca="1" si="5"/>
        <v>27</v>
      </c>
    </row>
    <row r="47" spans="1:58" x14ac:dyDescent="0.3">
      <c r="A47" s="67" t="s">
        <v>59</v>
      </c>
      <c r="B47" s="64" t="s">
        <v>73</v>
      </c>
      <c r="C47" s="64" t="s">
        <v>125</v>
      </c>
      <c r="D47" s="58">
        <f ca="1">VLOOKUP(A47,INDIRECT('LOCCS Import'!$AA$3&amp;"$A$3"):INDIRECT('LOCCS Import'!$AA$3&amp;"$O$54"),7,)</f>
        <v>1.78</v>
      </c>
      <c r="E47" s="60">
        <f ca="1">VLOOKUP(A47,INDIRECT('LOCCS Import'!$Z$3&amp;"$A$3"):INDIRECT('LOCCS Import'!$Z$3&amp;"$O$54"),7,)</f>
        <v>2.7</v>
      </c>
      <c r="F47" s="60">
        <f ca="1">VLOOKUP(A47,INDIRECT('LOCCS Import'!$Y$3&amp;"$A$3"):INDIRECT('LOCCS Import'!$Y$3&amp;"$O$54"),7,)</f>
        <v>2.66</v>
      </c>
      <c r="G47" s="60">
        <f ca="1">VLOOKUP(A47,INDIRECT('LOCCS Import'!$X$3&amp;"$A$3"):INDIRECT('LOCCS Import'!$X$3&amp;"$O$54"),7,)</f>
        <v>2.63</v>
      </c>
      <c r="H47" s="60">
        <f ca="1">VLOOKUP(A47,INDIRECT('LOCCS Import'!$W$3&amp;"$A$3"):INDIRECT('LOCCS Import'!$W$3&amp;"$O$54"),7,)</f>
        <v>2.48</v>
      </c>
      <c r="I47" s="60">
        <f ca="1">VLOOKUP(A47,INDIRECT('LOCCS Import'!$V$3&amp;"$A$3"):INDIRECT('LOCCS Import'!$V$3&amp;"$O$54"),7,)</f>
        <v>2.2799999999999998</v>
      </c>
      <c r="J47" s="60">
        <f ca="1">VLOOKUP(A47,INDIRECT('LOCCS Import'!$U$3&amp;"$A$3"):INDIRECT('LOCCS Import'!$U$3&amp;"$O$54"),7,)</f>
        <v>2.2799999999999998</v>
      </c>
      <c r="K47" s="60">
        <f ca="1">VLOOKUP(A47,INDIRECT('LOCCS Import'!$T$3&amp;"$A$3"):INDIRECT('LOCCS Import'!$T$3&amp;"$O$54"),7,)</f>
        <v>1.79</v>
      </c>
      <c r="L47" s="60">
        <f ca="1">VLOOKUP(A47,INDIRECT('LOCCS Import'!$S$3&amp;"$A$3"):INDIRECT('LOCCS Import'!$S$3&amp;"$O$54"),7,)</f>
        <v>1.73</v>
      </c>
      <c r="M47" s="60">
        <f ca="1">VLOOKUP(A47,INDIRECT('LOCCS Import'!$R$3&amp;"$A$3"):INDIRECT('LOCCS Import'!$R$3&amp;"$O$54"),7,)</f>
        <v>1.73</v>
      </c>
      <c r="N47" s="60">
        <f ca="1">VLOOKUP(A47,INDIRECT('LOCCS Import'!$Q$3&amp;"$A$3"):INDIRECT('LOCCS Import'!$Q$3&amp;"$O$54"),7,)</f>
        <v>1.7</v>
      </c>
      <c r="O47" s="60">
        <f ca="1">VLOOKUP(A47,INDIRECT('LOCCS Import'!$P$3&amp;"$A$3"):INDIRECT('LOCCS Import'!$P$3&amp;"$O$54"),7,)</f>
        <v>2.65</v>
      </c>
      <c r="P47" s="60">
        <f ca="1">VLOOKUP(A47,INDIRECT('LOCCS Import'!$O$3&amp;"$A$3"):INDIRECT('LOCCS Import'!$O$3&amp;"$O$54"),7,)</f>
        <v>2.61</v>
      </c>
      <c r="Q47" s="60">
        <f ca="1">VLOOKUP(A47,INDIRECT('LOCCS Import'!$N$3&amp;"$A$3"):INDIRECT('LOCCS Import'!$N$3&amp;"$O$54"),7,)</f>
        <v>2.59</v>
      </c>
      <c r="R47" s="60">
        <f ca="1">VLOOKUP(A47,INDIRECT('LOCCS Import'!$M$3&amp;"$A$3"):INDIRECT('LOCCS Import'!$M$3&amp;"$O$54"),7,)</f>
        <v>2.5099999999999998</v>
      </c>
      <c r="S47" s="60">
        <f ca="1">VLOOKUP(A47,INDIRECT('LOCCS Import'!$L$3&amp;"$A$3"):INDIRECT('LOCCS Import'!$L$3&amp;"$O$54"),7,)</f>
        <v>2.46</v>
      </c>
      <c r="T47" s="60">
        <f ca="1">VLOOKUP(A47,INDIRECT('LOCCS Import'!$K$3&amp;"$A$3"):INDIRECT('LOCCS Import'!$K$3&amp;"$O$54"),7,)</f>
        <v>2.39</v>
      </c>
      <c r="U47" s="60">
        <f ca="1">VLOOKUP(A47,INDIRECT('LOCCS Import'!$J$3&amp;"$A$3"):INDIRECT('LOCCS Import'!$J$3&amp;"$O$54"),7,)</f>
        <v>2.37</v>
      </c>
      <c r="V47" s="60">
        <f ca="1">VLOOKUP(A47,INDIRECT('LOCCS Import'!$I$3&amp;"$A$3"):INDIRECT('LOCCS Import'!$I$3&amp;"$O$54"),7,)</f>
        <v>2.25</v>
      </c>
      <c r="W47" s="60">
        <f ca="1">VLOOKUP(A47,INDIRECT('LOCCS Import'!$H$3&amp;"$A$3"):INDIRECT('LOCCS Import'!$H$3&amp;"$O$54"),7,)</f>
        <v>2.2400000000000002</v>
      </c>
      <c r="X47" s="60">
        <f ca="1">VLOOKUP(A47,INDIRECT('LOCCS Import'!$G$3&amp;"$A$3"):INDIRECT('LOCCS Import'!$G$3&amp;"$O$54"),7,)</f>
        <v>2.12</v>
      </c>
      <c r="Y47" s="60">
        <f ca="1">VLOOKUP(A47,INDIRECT('LOCCS Import'!$F$3&amp;"$A$3"):INDIRECT('LOCCS Import'!$F$3&amp;"$O$54"),7,)</f>
        <v>2.12</v>
      </c>
      <c r="Z47" s="60">
        <f ca="1">VLOOKUP(A47,INDIRECT('LOCCS Import'!$E$3&amp;"$A$3"):INDIRECT('LOCCS Import'!$E$3&amp;"$O$54"),7,)</f>
        <v>2.0499999999999998</v>
      </c>
      <c r="AA47" s="60">
        <f>VLOOKUP(A47,template!$A$3:$P$54,7,)</f>
        <v>3.04</v>
      </c>
      <c r="AB47" s="58">
        <f t="shared" ca="1" si="6"/>
        <v>3.04</v>
      </c>
      <c r="AC47" s="60">
        <f t="shared" ca="1" si="7"/>
        <v>2.0499999999999998</v>
      </c>
      <c r="AD47" s="61">
        <f t="shared" ca="1" si="8"/>
        <v>2.3958333333333335</v>
      </c>
      <c r="AE47" s="84">
        <f t="shared" ca="1" si="9"/>
        <v>13</v>
      </c>
      <c r="AF47" s="138"/>
      <c r="AG47" s="3">
        <f ca="1">VLOOKUP(A47,INDIRECT('LOCCS Import'!$AA$3&amp;"$A$3"):INDIRECT('LOCCS Import'!$AA$3&amp;"$O$54"),8,)</f>
        <v>0.99</v>
      </c>
      <c r="AH47" s="1">
        <f ca="1">VLOOKUP(A47,INDIRECT('LOCCS Import'!$Z$3&amp;"$A$3"):INDIRECT('LOCCS Import'!$Z$3&amp;"$O$54"),8,)</f>
        <v>0.96</v>
      </c>
      <c r="AI47" s="1">
        <f ca="1">VLOOKUP(A47,INDIRECT('LOCCS Import'!$Y$3&amp;"$A$3"):INDIRECT('LOCCS Import'!$Y$3&amp;"$O$54"),8,)</f>
        <v>0.97</v>
      </c>
      <c r="AJ47" s="1">
        <f ca="1">VLOOKUP(A47,INDIRECT('LOCCS Import'!$X$3&amp;"$A$3"):INDIRECT('LOCCS Import'!$X$3&amp;"$O$54"),8,)</f>
        <v>0.99</v>
      </c>
      <c r="AK47" s="1">
        <f ca="1">VLOOKUP(A47,INDIRECT('LOCCS Import'!$W$3&amp;"$A$3"):INDIRECT('LOCCS Import'!$W$3&amp;"$O$54"),8,)</f>
        <v>0.98</v>
      </c>
      <c r="AL47" s="1">
        <f ca="1">VLOOKUP(A47,INDIRECT('LOCCS Import'!$V$3&amp;"$A$3"):INDIRECT('LOCCS Import'!$V$3&amp;"$O$54"),8,)</f>
        <v>1.1200000000000001</v>
      </c>
      <c r="AM47" s="1">
        <f ca="1">VLOOKUP(A47,INDIRECT('LOCCS Import'!$U$3&amp;"$A$3"):INDIRECT('LOCCS Import'!$U$3&amp;"$O$54"),8,)</f>
        <v>1.1200000000000001</v>
      </c>
      <c r="AN47" s="1">
        <f ca="1">VLOOKUP(A47,INDIRECT('LOCCS Import'!$T$3&amp;"$A$3"):INDIRECT('LOCCS Import'!$T$3&amp;"$O$54"),8,)</f>
        <v>1.44</v>
      </c>
      <c r="AO47" s="1">
        <f ca="1">VLOOKUP(A47,INDIRECT('LOCCS Import'!$S$3&amp;"$A$3"):INDIRECT('LOCCS Import'!$S$3&amp;"$O$54"),8,)</f>
        <v>1.49</v>
      </c>
      <c r="AP47" s="1">
        <f ca="1">VLOOKUP(A47,INDIRECT('LOCCS Import'!$R$3&amp;"$A$3"):INDIRECT('LOCCS Import'!$R$3&amp;"$O$54"),8,)</f>
        <v>1.37</v>
      </c>
      <c r="AQ47" s="1">
        <f ca="1">VLOOKUP(A47,INDIRECT('LOCCS Import'!$Q$3&amp;"$A$3"):INDIRECT('LOCCS Import'!$Q$3&amp;"$O$54"),8,)</f>
        <v>1.3</v>
      </c>
      <c r="AR47" s="1">
        <f ca="1">VLOOKUP(A47,INDIRECT('LOCCS Import'!$P$3&amp;"$A$3"):INDIRECT('LOCCS Import'!$P$3&amp;"$O$54"),8,)</f>
        <v>1.22</v>
      </c>
      <c r="AS47" s="1">
        <f ca="1">VLOOKUP(A47,INDIRECT('LOCCS Import'!$O$3&amp;"$A$3"):INDIRECT('LOCCS Import'!$O$3&amp;"$O$54"),8,)</f>
        <v>1.1299999999999999</v>
      </c>
      <c r="AT47" s="1">
        <f ca="1">VLOOKUP(A47,INDIRECT('LOCCS Import'!$N$3&amp;"$A$3"):INDIRECT('LOCCS Import'!$N$3&amp;"$O$54"),8,)</f>
        <v>1.1000000000000001</v>
      </c>
      <c r="AU47" s="1">
        <f ca="1">VLOOKUP(A47,INDIRECT('LOCCS Import'!$M$3&amp;"$A$3"):INDIRECT('LOCCS Import'!$M$3&amp;"$O$54"),8,)</f>
        <v>1.1399999999999999</v>
      </c>
      <c r="AV47" s="1">
        <f ca="1">VLOOKUP(A47,INDIRECT('LOCCS Import'!$L$3&amp;"$A$3"):INDIRECT('LOCCS Import'!$L$3&amp;"$O$54"),8,)</f>
        <v>1.1599999999999999</v>
      </c>
      <c r="AW47" s="1">
        <f ca="1">VLOOKUP(A47,INDIRECT('LOCCS Import'!$K$3&amp;"$A$3"):INDIRECT('LOCCS Import'!$K$3&amp;"$O$54"),8,)</f>
        <v>1.08</v>
      </c>
      <c r="AX47" s="1">
        <f ca="1">VLOOKUP(A47,INDIRECT('LOCCS Import'!$J$3&amp;"$A$3"):INDIRECT('LOCCS Import'!$J$3&amp;"$O$54"),8,)</f>
        <v>0.9</v>
      </c>
      <c r="AY47" s="1">
        <f ca="1">VLOOKUP(A47,INDIRECT('LOCCS Import'!$I$3&amp;"$A$3"):INDIRECT('LOCCS Import'!$I$3&amp;"$O$54"),8,)</f>
        <v>0.79</v>
      </c>
      <c r="AZ47" s="1">
        <f ca="1">VLOOKUP(A47,INDIRECT('LOCCS Import'!$H$3&amp;"$A$3"):INDIRECT('LOCCS Import'!$H$3&amp;"$O$54"),8,)</f>
        <v>0.55000000000000004</v>
      </c>
      <c r="BA47" s="1">
        <f ca="1">VLOOKUP(A47,INDIRECT('LOCCS Import'!$G$3&amp;"$A$3"):INDIRECT('LOCCS Import'!$G$3&amp;"$O$54"),8,)</f>
        <v>0.6</v>
      </c>
      <c r="BB47" s="1">
        <f ca="1">VLOOKUP(A47,INDIRECT('LOCCS Import'!$F$3&amp;"$A$3"):INDIRECT('LOCCS Import'!$F$3&amp;"$O$54"),8,)</f>
        <v>0.6</v>
      </c>
      <c r="BC47" s="1">
        <f ca="1">VLOOKUP(A47,INDIRECT('LOCCS Import'!$E$3&amp;"$A$3"):INDIRECT('LOCCS Import'!$E$3&amp;"$O$54"),8,)</f>
        <v>0.64</v>
      </c>
      <c r="BD47" s="2">
        <f>VLOOKUP(A47,template!$A$3:$P$54,8,)</f>
        <v>0.63</v>
      </c>
      <c r="BE47" s="2">
        <f t="shared" ca="1" si="10"/>
        <v>0.86000000000000021</v>
      </c>
      <c r="BF47" s="115">
        <f t="shared" ca="1" si="5"/>
        <v>32</v>
      </c>
    </row>
    <row r="48" spans="1:58" x14ac:dyDescent="0.3">
      <c r="A48" s="67" t="s">
        <v>60</v>
      </c>
      <c r="B48" s="64" t="s">
        <v>73</v>
      </c>
      <c r="C48" s="64" t="s">
        <v>126</v>
      </c>
      <c r="D48" s="58">
        <f ca="1">VLOOKUP(A48,INDIRECT('LOCCS Import'!$AA$3&amp;"$A$3"):INDIRECT('LOCCS Import'!$AA$3&amp;"$O$54"),7,)</f>
        <v>4.12</v>
      </c>
      <c r="E48" s="60">
        <f ca="1">VLOOKUP(A48,INDIRECT('LOCCS Import'!$Z$3&amp;"$A$3"):INDIRECT('LOCCS Import'!$Z$3&amp;"$O$54"),7,)</f>
        <v>4.05</v>
      </c>
      <c r="F48" s="60">
        <f ca="1">VLOOKUP(A48,INDIRECT('LOCCS Import'!$Y$3&amp;"$A$3"):INDIRECT('LOCCS Import'!$Y$3&amp;"$O$54"),7,)</f>
        <v>3.98</v>
      </c>
      <c r="G48" s="60">
        <f ca="1">VLOOKUP(A48,INDIRECT('LOCCS Import'!$X$3&amp;"$A$3"):INDIRECT('LOCCS Import'!$X$3&amp;"$O$54"),7,)</f>
        <v>3.93</v>
      </c>
      <c r="H48" s="60">
        <f ca="1">VLOOKUP(A48,INDIRECT('LOCCS Import'!$W$3&amp;"$A$3"):INDIRECT('LOCCS Import'!$W$3&amp;"$O$54"),7,)</f>
        <v>3.88</v>
      </c>
      <c r="I48" s="60">
        <f ca="1">VLOOKUP(A48,INDIRECT('LOCCS Import'!$V$3&amp;"$A$3"):INDIRECT('LOCCS Import'!$V$3&amp;"$O$54"),7,)</f>
        <v>3.8</v>
      </c>
      <c r="J48" s="60">
        <f ca="1">VLOOKUP(A48,INDIRECT('LOCCS Import'!$U$3&amp;"$A$3"):INDIRECT('LOCCS Import'!$U$3&amp;"$O$54"),7,)</f>
        <v>3.8</v>
      </c>
      <c r="K48" s="60">
        <f ca="1">VLOOKUP(A48,INDIRECT('LOCCS Import'!$T$3&amp;"$A$3"):INDIRECT('LOCCS Import'!$T$3&amp;"$O$54"),7,)</f>
        <v>3.69</v>
      </c>
      <c r="L48" s="60">
        <f ca="1">VLOOKUP(A48,INDIRECT('LOCCS Import'!$S$3&amp;"$A$3"):INDIRECT('LOCCS Import'!$S$3&amp;"$O$54"),7,)</f>
        <v>3.63</v>
      </c>
      <c r="M48" s="60">
        <f ca="1">VLOOKUP(A48,INDIRECT('LOCCS Import'!$R$3&amp;"$A$3"):INDIRECT('LOCCS Import'!$R$3&amp;"$O$54"),7,)</f>
        <v>3.58</v>
      </c>
      <c r="N48" s="60">
        <f ca="1">VLOOKUP(A48,INDIRECT('LOCCS Import'!$Q$3&amp;"$A$3"):INDIRECT('LOCCS Import'!$Q$3&amp;"$O$54"),7,)</f>
        <v>3.54</v>
      </c>
      <c r="O48" s="60">
        <f ca="1">VLOOKUP(A48,INDIRECT('LOCCS Import'!$P$3&amp;"$A$3"):INDIRECT('LOCCS Import'!$P$3&amp;"$O$54"),7,)</f>
        <v>4.3899999999999997</v>
      </c>
      <c r="P48" s="60">
        <f ca="1">VLOOKUP(A48,INDIRECT('LOCCS Import'!$O$3&amp;"$A$3"):INDIRECT('LOCCS Import'!$O$3&amp;"$O$54"),7,)</f>
        <v>4.33</v>
      </c>
      <c r="Q48" s="60">
        <f ca="1">VLOOKUP(A48,INDIRECT('LOCCS Import'!$N$3&amp;"$A$3"):INDIRECT('LOCCS Import'!$N$3&amp;"$O$54"),7,)</f>
        <v>4.3</v>
      </c>
      <c r="R48" s="60">
        <f ca="1">VLOOKUP(A48,INDIRECT('LOCCS Import'!$M$3&amp;"$A$3"):INDIRECT('LOCCS Import'!$M$3&amp;"$O$54"),7,)</f>
        <v>4.24</v>
      </c>
      <c r="S48" s="60">
        <f ca="1">VLOOKUP(A48,INDIRECT('LOCCS Import'!$L$3&amp;"$A$3"):INDIRECT('LOCCS Import'!$L$3&amp;"$O$54"),7,)</f>
        <v>4.2300000000000004</v>
      </c>
      <c r="T48" s="60">
        <f ca="1">VLOOKUP(A48,INDIRECT('LOCCS Import'!$K$3&amp;"$A$3"):INDIRECT('LOCCS Import'!$K$3&amp;"$O$54"),7,)</f>
        <v>4.18</v>
      </c>
      <c r="U48" s="60">
        <f ca="1">VLOOKUP(A48,INDIRECT('LOCCS Import'!$J$3&amp;"$A$3"):INDIRECT('LOCCS Import'!$J$3&amp;"$O$54"),7,)</f>
        <v>4.13</v>
      </c>
      <c r="V48" s="60">
        <f ca="1">VLOOKUP(A48,INDIRECT('LOCCS Import'!$I$3&amp;"$A$3"):INDIRECT('LOCCS Import'!$I$3&amp;"$O$54"),7,)</f>
        <v>4.04</v>
      </c>
      <c r="W48" s="60">
        <f ca="1">VLOOKUP(A48,INDIRECT('LOCCS Import'!$H$3&amp;"$A$3"):INDIRECT('LOCCS Import'!$H$3&amp;"$O$54"),7,)</f>
        <v>3.94</v>
      </c>
      <c r="X48" s="60">
        <f ca="1">VLOOKUP(A48,INDIRECT('LOCCS Import'!$G$3&amp;"$A$3"):INDIRECT('LOCCS Import'!$G$3&amp;"$O$54"),7,)</f>
        <v>3.82</v>
      </c>
      <c r="Y48" s="60">
        <f ca="1">VLOOKUP(A48,INDIRECT('LOCCS Import'!$F$3&amp;"$A$3"):INDIRECT('LOCCS Import'!$F$3&amp;"$O$54"),7,)</f>
        <v>3.79</v>
      </c>
      <c r="Z48" s="60">
        <f ca="1">VLOOKUP(A48,INDIRECT('LOCCS Import'!$E$3&amp;"$A$3"):INDIRECT('LOCCS Import'!$E$3&amp;"$O$54"),7,)</f>
        <v>3.73</v>
      </c>
      <c r="AA48" s="60">
        <f>VLOOKUP(A48,template!$A$3:$P$54,7,)</f>
        <v>4.6900000000000004</v>
      </c>
      <c r="AB48" s="58">
        <f t="shared" ca="1" si="6"/>
        <v>4.6900000000000004</v>
      </c>
      <c r="AC48" s="60">
        <f t="shared" ca="1" si="7"/>
        <v>3.73</v>
      </c>
      <c r="AD48" s="61">
        <f t="shared" ca="1" si="8"/>
        <v>4.1183333333333332</v>
      </c>
      <c r="AE48" s="84">
        <f t="shared" ca="1" si="9"/>
        <v>42</v>
      </c>
      <c r="AF48" s="138"/>
      <c r="AG48" s="3">
        <f ca="1">VLOOKUP(A48,INDIRECT('LOCCS Import'!$AA$3&amp;"$A$3"):INDIRECT('LOCCS Import'!$AA$3&amp;"$O$54"),8,)</f>
        <v>0.72</v>
      </c>
      <c r="AH48" s="1">
        <f ca="1">VLOOKUP(A48,INDIRECT('LOCCS Import'!$Z$3&amp;"$A$3"):INDIRECT('LOCCS Import'!$Z$3&amp;"$O$54"),8,)</f>
        <v>0.76</v>
      </c>
      <c r="AI48" s="1">
        <f ca="1">VLOOKUP(A48,INDIRECT('LOCCS Import'!$Y$3&amp;"$A$3"):INDIRECT('LOCCS Import'!$Y$3&amp;"$O$54"),8,)</f>
        <v>0.75</v>
      </c>
      <c r="AJ48" s="1">
        <f ca="1">VLOOKUP(A48,INDIRECT('LOCCS Import'!$X$3&amp;"$A$3"):INDIRECT('LOCCS Import'!$X$3&amp;"$O$54"),8,)</f>
        <v>0.77</v>
      </c>
      <c r="AK48" s="1">
        <f ca="1">VLOOKUP(A48,INDIRECT('LOCCS Import'!$W$3&amp;"$A$3"):INDIRECT('LOCCS Import'!$W$3&amp;"$O$54"),8,)</f>
        <v>0.76</v>
      </c>
      <c r="AL48" s="1">
        <f ca="1">VLOOKUP(A48,INDIRECT('LOCCS Import'!$V$3&amp;"$A$3"):INDIRECT('LOCCS Import'!$V$3&amp;"$O$54"),8,)</f>
        <v>0.76</v>
      </c>
      <c r="AM48" s="1">
        <f ca="1">VLOOKUP(A48,INDIRECT('LOCCS Import'!$U$3&amp;"$A$3"):INDIRECT('LOCCS Import'!$U$3&amp;"$O$54"),8,)</f>
        <v>0.76</v>
      </c>
      <c r="AN48" s="1">
        <f ca="1">VLOOKUP(A48,INDIRECT('LOCCS Import'!$T$3&amp;"$A$3"):INDIRECT('LOCCS Import'!$T$3&amp;"$O$54"),8,)</f>
        <v>0.78</v>
      </c>
      <c r="AO48" s="1">
        <f ca="1">VLOOKUP(A48,INDIRECT('LOCCS Import'!$S$3&amp;"$A$3"):INDIRECT('LOCCS Import'!$S$3&amp;"$O$54"),8,)</f>
        <v>0.69</v>
      </c>
      <c r="AP48" s="1">
        <f ca="1">VLOOKUP(A48,INDIRECT('LOCCS Import'!$R$3&amp;"$A$3"):INDIRECT('LOCCS Import'!$R$3&amp;"$O$54"),8,)</f>
        <v>0.7</v>
      </c>
      <c r="AQ48" s="1">
        <f ca="1">VLOOKUP(A48,INDIRECT('LOCCS Import'!$Q$3&amp;"$A$3"):INDIRECT('LOCCS Import'!$Q$3&amp;"$O$54"),8,)</f>
        <v>0.69</v>
      </c>
      <c r="AR48" s="1">
        <f ca="1">VLOOKUP(A48,INDIRECT('LOCCS Import'!$P$3&amp;"$A$3"):INDIRECT('LOCCS Import'!$P$3&amp;"$O$54"),8,)</f>
        <v>0.73</v>
      </c>
      <c r="AS48" s="1">
        <f ca="1">VLOOKUP(A48,INDIRECT('LOCCS Import'!$O$3&amp;"$A$3"):INDIRECT('LOCCS Import'!$O$3&amp;"$O$54"),8,)</f>
        <v>0.72</v>
      </c>
      <c r="AT48" s="1">
        <f ca="1">VLOOKUP(A48,INDIRECT('LOCCS Import'!$N$3&amp;"$A$3"):INDIRECT('LOCCS Import'!$N$3&amp;"$O$54"),8,)</f>
        <v>0.68</v>
      </c>
      <c r="AU48" s="1">
        <f ca="1">VLOOKUP(A48,INDIRECT('LOCCS Import'!$M$3&amp;"$A$3"):INDIRECT('LOCCS Import'!$M$3&amp;"$O$54"),8,)</f>
        <v>0.67</v>
      </c>
      <c r="AV48" s="1">
        <f ca="1">VLOOKUP(A48,INDIRECT('LOCCS Import'!$L$3&amp;"$A$3"):INDIRECT('LOCCS Import'!$L$3&amp;"$O$54"),8,)</f>
        <v>0.64</v>
      </c>
      <c r="AW48" s="1">
        <f ca="1">VLOOKUP(A48,INDIRECT('LOCCS Import'!$K$3&amp;"$A$3"):INDIRECT('LOCCS Import'!$K$3&amp;"$O$54"),8,)</f>
        <v>0.62</v>
      </c>
      <c r="AX48" s="1">
        <f ca="1">VLOOKUP(A48,INDIRECT('LOCCS Import'!$J$3&amp;"$A$3"):INDIRECT('LOCCS Import'!$J$3&amp;"$O$54"),8,)</f>
        <v>0.6</v>
      </c>
      <c r="AY48" s="1">
        <f ca="1">VLOOKUP(A48,INDIRECT('LOCCS Import'!$I$3&amp;"$A$3"):INDIRECT('LOCCS Import'!$I$3&amp;"$O$54"),8,)</f>
        <v>0.63</v>
      </c>
      <c r="AZ48" s="1">
        <f ca="1">VLOOKUP(A48,INDIRECT('LOCCS Import'!$H$3&amp;"$A$3"):INDIRECT('LOCCS Import'!$H$3&amp;"$O$54"),8,)</f>
        <v>0.68</v>
      </c>
      <c r="BA48" s="1">
        <f ca="1">VLOOKUP(A48,INDIRECT('LOCCS Import'!$G$3&amp;"$A$3"):INDIRECT('LOCCS Import'!$G$3&amp;"$O$54"),8,)</f>
        <v>0.74</v>
      </c>
      <c r="BB48" s="1">
        <f ca="1">VLOOKUP(A48,INDIRECT('LOCCS Import'!$F$3&amp;"$A$3"):INDIRECT('LOCCS Import'!$F$3&amp;"$O$54"),8,)</f>
        <v>0.73</v>
      </c>
      <c r="BC48" s="1">
        <f ca="1">VLOOKUP(A48,INDIRECT('LOCCS Import'!$E$3&amp;"$A$3"):INDIRECT('LOCCS Import'!$E$3&amp;"$O$54"),8,)</f>
        <v>0.74</v>
      </c>
      <c r="BD48" s="2">
        <f>VLOOKUP(A48,template!$A$3:$P$54,8,)</f>
        <v>0.73</v>
      </c>
      <c r="BE48" s="2">
        <f t="shared" ca="1" si="10"/>
        <v>0.68166666666666675</v>
      </c>
      <c r="BF48" s="115">
        <f t="shared" ca="1" si="5"/>
        <v>48</v>
      </c>
    </row>
    <row r="49" spans="1:58" x14ac:dyDescent="0.3">
      <c r="A49" s="67" t="s">
        <v>61</v>
      </c>
      <c r="B49" s="64" t="s">
        <v>70</v>
      </c>
      <c r="C49" s="64" t="s">
        <v>127</v>
      </c>
      <c r="D49" s="58">
        <f ca="1">VLOOKUP(A49,INDIRECT('LOCCS Import'!$AA$3&amp;"$A$3"):INDIRECT('LOCCS Import'!$AA$3&amp;"$O$54"),7,)</f>
        <v>2.94</v>
      </c>
      <c r="E49" s="60">
        <f ca="1">VLOOKUP(A49,INDIRECT('LOCCS Import'!$Z$3&amp;"$A$3"):INDIRECT('LOCCS Import'!$Z$3&amp;"$O$54"),7,)</f>
        <v>2.81</v>
      </c>
      <c r="F49" s="60">
        <f ca="1">VLOOKUP(A49,INDIRECT('LOCCS Import'!$Y$3&amp;"$A$3"):INDIRECT('LOCCS Import'!$Y$3&amp;"$O$54"),7,)</f>
        <v>2.73</v>
      </c>
      <c r="G49" s="60">
        <f ca="1">VLOOKUP(A49,INDIRECT('LOCCS Import'!$X$3&amp;"$A$3"):INDIRECT('LOCCS Import'!$X$3&amp;"$O$54"),7,)</f>
        <v>2.64</v>
      </c>
      <c r="H49" s="60">
        <f ca="1">VLOOKUP(A49,INDIRECT('LOCCS Import'!$W$3&amp;"$A$3"):INDIRECT('LOCCS Import'!$W$3&amp;"$O$54"),7,)</f>
        <v>2.58</v>
      </c>
      <c r="I49" s="60">
        <f ca="1">VLOOKUP(A49,INDIRECT('LOCCS Import'!$V$3&amp;"$A$3"):INDIRECT('LOCCS Import'!$V$3&amp;"$O$54"),7,)</f>
        <v>2.5099999999999998</v>
      </c>
      <c r="J49" s="60">
        <f ca="1">VLOOKUP(A49,INDIRECT('LOCCS Import'!$U$3&amp;"$A$3"):INDIRECT('LOCCS Import'!$U$3&amp;"$O$54"),7,)</f>
        <v>2.5099999999999998</v>
      </c>
      <c r="K49" s="60">
        <f ca="1">VLOOKUP(A49,INDIRECT('LOCCS Import'!$T$3&amp;"$A$3"):INDIRECT('LOCCS Import'!$T$3&amp;"$O$54"),7,)</f>
        <v>2.38</v>
      </c>
      <c r="L49" s="60">
        <f ca="1">VLOOKUP(A49,INDIRECT('LOCCS Import'!$S$3&amp;"$A$3"):INDIRECT('LOCCS Import'!$S$3&amp;"$O$54"),7,)</f>
        <v>2.33</v>
      </c>
      <c r="M49" s="60">
        <f ca="1">VLOOKUP(A49,INDIRECT('LOCCS Import'!$R$3&amp;"$A$3"):INDIRECT('LOCCS Import'!$R$3&amp;"$O$54"),7,)</f>
        <v>2.23</v>
      </c>
      <c r="N49" s="60">
        <f ca="1">VLOOKUP(A49,INDIRECT('LOCCS Import'!$Q$3&amp;"$A$3"):INDIRECT('LOCCS Import'!$Q$3&amp;"$O$54"),7,)</f>
        <v>2.19</v>
      </c>
      <c r="O49" s="60">
        <f ca="1">VLOOKUP(A49,INDIRECT('LOCCS Import'!$P$3&amp;"$A$3"):INDIRECT('LOCCS Import'!$P$3&amp;"$O$54"),7,)</f>
        <v>3.14</v>
      </c>
      <c r="P49" s="60">
        <f ca="1">VLOOKUP(A49,INDIRECT('LOCCS Import'!$O$3&amp;"$A$3"):INDIRECT('LOCCS Import'!$O$3&amp;"$O$54"),7,)</f>
        <v>3.07</v>
      </c>
      <c r="Q49" s="60">
        <f ca="1">VLOOKUP(A49,INDIRECT('LOCCS Import'!$N$3&amp;"$A$3"):INDIRECT('LOCCS Import'!$N$3&amp;"$O$54"),7,)</f>
        <v>2.95</v>
      </c>
      <c r="R49" s="60">
        <f ca="1">VLOOKUP(A49,INDIRECT('LOCCS Import'!$M$3&amp;"$A$3"):INDIRECT('LOCCS Import'!$M$3&amp;"$O$54"),7,)</f>
        <v>2.92</v>
      </c>
      <c r="S49" s="60">
        <f ca="1">VLOOKUP(A49,INDIRECT('LOCCS Import'!$L$3&amp;"$A$3"):INDIRECT('LOCCS Import'!$L$3&amp;"$O$54"),7,)</f>
        <v>2.89</v>
      </c>
      <c r="T49" s="60">
        <f ca="1">VLOOKUP(A49,INDIRECT('LOCCS Import'!$K$3&amp;"$A$3"):INDIRECT('LOCCS Import'!$K$3&amp;"$O$54"),7,)</f>
        <v>2.84</v>
      </c>
      <c r="U49" s="60">
        <f ca="1">VLOOKUP(A49,INDIRECT('LOCCS Import'!$J$3&amp;"$A$3"):INDIRECT('LOCCS Import'!$J$3&amp;"$O$54"),7,)</f>
        <v>2.75</v>
      </c>
      <c r="V49" s="60">
        <f ca="1">VLOOKUP(A49,INDIRECT('LOCCS Import'!$I$3&amp;"$A$3"):INDIRECT('LOCCS Import'!$I$3&amp;"$O$54"),7,)</f>
        <v>2.67</v>
      </c>
      <c r="W49" s="60">
        <f ca="1">VLOOKUP(A49,INDIRECT('LOCCS Import'!$H$3&amp;"$A$3"):INDIRECT('LOCCS Import'!$H$3&amp;"$O$54"),7,)</f>
        <v>2.52</v>
      </c>
      <c r="X49" s="60">
        <f ca="1">VLOOKUP(A49,INDIRECT('LOCCS Import'!$G$3&amp;"$A$3"):INDIRECT('LOCCS Import'!$G$3&amp;"$O$54"),7,)</f>
        <v>2.37</v>
      </c>
      <c r="Y49" s="60">
        <f ca="1">VLOOKUP(A49,INDIRECT('LOCCS Import'!$F$3&amp;"$A$3"):INDIRECT('LOCCS Import'!$F$3&amp;"$O$54"),7,)</f>
        <v>2.2799999999999998</v>
      </c>
      <c r="Z49" s="60">
        <f ca="1">VLOOKUP(A49,INDIRECT('LOCCS Import'!$E$3&amp;"$A$3"):INDIRECT('LOCCS Import'!$E$3&amp;"$O$54"),7,)</f>
        <v>2.23</v>
      </c>
      <c r="AA49" s="60">
        <f>VLOOKUP(A49,template!$A$3:$P$54,7,)</f>
        <v>3.13</v>
      </c>
      <c r="AB49" s="58">
        <f t="shared" ca="1" si="6"/>
        <v>3.13</v>
      </c>
      <c r="AC49" s="60">
        <f t="shared" ca="1" si="7"/>
        <v>2.23</v>
      </c>
      <c r="AD49" s="61">
        <f t="shared" ca="1" si="8"/>
        <v>2.7183333333333337</v>
      </c>
      <c r="AE49" s="84">
        <f t="shared" ca="1" si="9"/>
        <v>19</v>
      </c>
      <c r="AF49" s="138"/>
      <c r="AG49" s="3">
        <f ca="1">VLOOKUP(A49,INDIRECT('LOCCS Import'!$AA$3&amp;"$A$3"):INDIRECT('LOCCS Import'!$AA$3&amp;"$O$54"),8,)</f>
        <v>1.17</v>
      </c>
      <c r="AH49" s="1">
        <f ca="1">VLOOKUP(A49,INDIRECT('LOCCS Import'!$Z$3&amp;"$A$3"):INDIRECT('LOCCS Import'!$Z$3&amp;"$O$54"),8,)</f>
        <v>1.19</v>
      </c>
      <c r="AI49" s="1">
        <f ca="1">VLOOKUP(A49,INDIRECT('LOCCS Import'!$Y$3&amp;"$A$3"):INDIRECT('LOCCS Import'!$Y$3&amp;"$O$54"),8,)</f>
        <v>1.18</v>
      </c>
      <c r="AJ49" s="1">
        <f ca="1">VLOOKUP(A49,INDIRECT('LOCCS Import'!$X$3&amp;"$A$3"):INDIRECT('LOCCS Import'!$X$3&amp;"$O$54"),8,)</f>
        <v>1.22</v>
      </c>
      <c r="AK49" s="1">
        <f ca="1">VLOOKUP(A49,INDIRECT('LOCCS Import'!$W$3&amp;"$A$3"):INDIRECT('LOCCS Import'!$W$3&amp;"$O$54"),8,)</f>
        <v>1.1599999999999999</v>
      </c>
      <c r="AL49" s="1">
        <f ca="1">VLOOKUP(A49,INDIRECT('LOCCS Import'!$V$3&amp;"$A$3"):INDIRECT('LOCCS Import'!$V$3&amp;"$O$54"),8,)</f>
        <v>1.17</v>
      </c>
      <c r="AM49" s="1">
        <f ca="1">VLOOKUP(A49,INDIRECT('LOCCS Import'!$U$3&amp;"$A$3"):INDIRECT('LOCCS Import'!$U$3&amp;"$O$54"),8,)</f>
        <v>1.17</v>
      </c>
      <c r="AN49" s="1">
        <f ca="1">VLOOKUP(A49,INDIRECT('LOCCS Import'!$T$3&amp;"$A$3"):INDIRECT('LOCCS Import'!$T$3&amp;"$O$54"),8,)</f>
        <v>1.0900000000000001</v>
      </c>
      <c r="AO49" s="1">
        <f ca="1">VLOOKUP(A49,INDIRECT('LOCCS Import'!$S$3&amp;"$A$3"):INDIRECT('LOCCS Import'!$S$3&amp;"$O$54"),8,)</f>
        <v>1.05</v>
      </c>
      <c r="AP49" s="1">
        <f ca="1">VLOOKUP(A49,INDIRECT('LOCCS Import'!$R$3&amp;"$A$3"):INDIRECT('LOCCS Import'!$R$3&amp;"$O$54"),8,)</f>
        <v>0.99</v>
      </c>
      <c r="AQ49" s="1">
        <f ca="1">VLOOKUP(A49,INDIRECT('LOCCS Import'!$Q$3&amp;"$A$3"):INDIRECT('LOCCS Import'!$Q$3&amp;"$O$54"),8,)</f>
        <v>0.94</v>
      </c>
      <c r="AR49" s="1">
        <f ca="1">VLOOKUP(A49,INDIRECT('LOCCS Import'!$P$3&amp;"$A$3"):INDIRECT('LOCCS Import'!$P$3&amp;"$O$54"),8,)</f>
        <v>0.91</v>
      </c>
      <c r="AS49" s="1">
        <f ca="1">VLOOKUP(A49,INDIRECT('LOCCS Import'!$O$3&amp;"$A$3"):INDIRECT('LOCCS Import'!$O$3&amp;"$O$54"),8,)</f>
        <v>0.86</v>
      </c>
      <c r="AT49" s="1">
        <f ca="1">VLOOKUP(A49,INDIRECT('LOCCS Import'!$N$3&amp;"$A$3"):INDIRECT('LOCCS Import'!$N$3&amp;"$O$54"),8,)</f>
        <v>0.86</v>
      </c>
      <c r="AU49" s="1">
        <f ca="1">VLOOKUP(A49,INDIRECT('LOCCS Import'!$M$3&amp;"$A$3"):INDIRECT('LOCCS Import'!$M$3&amp;"$O$54"),8,)</f>
        <v>0.82</v>
      </c>
      <c r="AV49" s="1">
        <f ca="1">VLOOKUP(A49,INDIRECT('LOCCS Import'!$L$3&amp;"$A$3"):INDIRECT('LOCCS Import'!$L$3&amp;"$O$54"),8,)</f>
        <v>0.75</v>
      </c>
      <c r="AW49" s="1">
        <f ca="1">VLOOKUP(A49,INDIRECT('LOCCS Import'!$K$3&amp;"$A$3"):INDIRECT('LOCCS Import'!$K$3&amp;"$O$54"),8,)</f>
        <v>0.74</v>
      </c>
      <c r="AX49" s="1">
        <f ca="1">VLOOKUP(A49,INDIRECT('LOCCS Import'!$J$3&amp;"$A$3"):INDIRECT('LOCCS Import'!$J$3&amp;"$O$54"),8,)</f>
        <v>0.76</v>
      </c>
      <c r="AY49" s="1">
        <f ca="1">VLOOKUP(A49,INDIRECT('LOCCS Import'!$I$3&amp;"$A$3"):INDIRECT('LOCCS Import'!$I$3&amp;"$O$54"),8,)</f>
        <v>0.83</v>
      </c>
      <c r="AZ49" s="1">
        <f ca="1">VLOOKUP(A49,INDIRECT('LOCCS Import'!$H$3&amp;"$A$3"):INDIRECT('LOCCS Import'!$H$3&amp;"$O$54"),8,)</f>
        <v>0.86</v>
      </c>
      <c r="BA49" s="1">
        <f ca="1">VLOOKUP(A49,INDIRECT('LOCCS Import'!$G$3&amp;"$A$3"):INDIRECT('LOCCS Import'!$G$3&amp;"$O$54"),8,)</f>
        <v>0.96</v>
      </c>
      <c r="BB49" s="1">
        <f ca="1">VLOOKUP(A49,INDIRECT('LOCCS Import'!$F$3&amp;"$A$3"):INDIRECT('LOCCS Import'!$F$3&amp;"$O$54"),8,)</f>
        <v>0.95</v>
      </c>
      <c r="BC49" s="1">
        <f ca="1">VLOOKUP(A49,INDIRECT('LOCCS Import'!$E$3&amp;"$A$3"):INDIRECT('LOCCS Import'!$E$3&amp;"$O$54"),8,)</f>
        <v>0.96</v>
      </c>
      <c r="BD49" s="2">
        <f>VLOOKUP(A49,template!$A$3:$P$54,8,)</f>
        <v>1.02</v>
      </c>
      <c r="BE49" s="2">
        <f t="shared" ca="1" si="10"/>
        <v>0.86416666666666675</v>
      </c>
      <c r="BF49" s="115">
        <f t="shared" ca="1" si="5"/>
        <v>31</v>
      </c>
    </row>
    <row r="50" spans="1:58" x14ac:dyDescent="0.3">
      <c r="A50" s="67" t="s">
        <v>62</v>
      </c>
      <c r="B50" s="64" t="s">
        <v>73</v>
      </c>
      <c r="C50" s="64" t="s">
        <v>128</v>
      </c>
      <c r="D50" s="58">
        <f ca="1">VLOOKUP(A50,INDIRECT('LOCCS Import'!$AA$3&amp;"$A$3"):INDIRECT('LOCCS Import'!$AA$3&amp;"$O$54"),7,)</f>
        <v>5.66</v>
      </c>
      <c r="E50" s="60">
        <f ca="1">VLOOKUP(A50,INDIRECT('LOCCS Import'!$Z$3&amp;"$A$3"):INDIRECT('LOCCS Import'!$Z$3&amp;"$O$54"),7,)</f>
        <v>5.63</v>
      </c>
      <c r="F50" s="60">
        <f ca="1">VLOOKUP(A50,INDIRECT('LOCCS Import'!$Y$3&amp;"$A$3"):INDIRECT('LOCCS Import'!$Y$3&amp;"$O$54"),7,)</f>
        <v>5.59</v>
      </c>
      <c r="G50" s="60">
        <f ca="1">VLOOKUP(A50,INDIRECT('LOCCS Import'!$X$3&amp;"$A$3"):INDIRECT('LOCCS Import'!$X$3&amp;"$O$54"),7,)</f>
        <v>5.5</v>
      </c>
      <c r="H50" s="60">
        <f ca="1">VLOOKUP(A50,INDIRECT('LOCCS Import'!$W$3&amp;"$A$3"):INDIRECT('LOCCS Import'!$W$3&amp;"$O$54"),7,)</f>
        <v>5.49</v>
      </c>
      <c r="I50" s="60">
        <f ca="1">VLOOKUP(A50,INDIRECT('LOCCS Import'!$V$3&amp;"$A$3"):INDIRECT('LOCCS Import'!$V$3&amp;"$O$54"),7,)</f>
        <v>5.33</v>
      </c>
      <c r="J50" s="60">
        <f ca="1">VLOOKUP(A50,INDIRECT('LOCCS Import'!$U$3&amp;"$A$3"):INDIRECT('LOCCS Import'!$U$3&amp;"$O$54"),7,)</f>
        <v>5.33</v>
      </c>
      <c r="K50" s="60">
        <f ca="1">VLOOKUP(A50,INDIRECT('LOCCS Import'!$T$3&amp;"$A$3"):INDIRECT('LOCCS Import'!$T$3&amp;"$O$54"),7,)</f>
        <v>5.25</v>
      </c>
      <c r="L50" s="60">
        <f ca="1">VLOOKUP(A50,INDIRECT('LOCCS Import'!$S$3&amp;"$A$3"):INDIRECT('LOCCS Import'!$S$3&amp;"$O$54"),7,)</f>
        <v>5.2</v>
      </c>
      <c r="M50" s="60">
        <f ca="1">VLOOKUP(A50,INDIRECT('LOCCS Import'!$R$3&amp;"$A$3"):INDIRECT('LOCCS Import'!$R$3&amp;"$O$54"),7,)</f>
        <v>5.04</v>
      </c>
      <c r="N50" s="60">
        <f ca="1">VLOOKUP(A50,INDIRECT('LOCCS Import'!$Q$3&amp;"$A$3"):INDIRECT('LOCCS Import'!$Q$3&amp;"$O$54"),7,)</f>
        <v>4.9000000000000004</v>
      </c>
      <c r="O50" s="60">
        <f ca="1">VLOOKUP(A50,INDIRECT('LOCCS Import'!$P$3&amp;"$A$3"):INDIRECT('LOCCS Import'!$P$3&amp;"$O$54"),7,)</f>
        <v>5.86</v>
      </c>
      <c r="P50" s="60">
        <f ca="1">VLOOKUP(A50,INDIRECT('LOCCS Import'!$O$3&amp;"$A$3"):INDIRECT('LOCCS Import'!$O$3&amp;"$O$54"),7,)</f>
        <v>5.78</v>
      </c>
      <c r="Q50" s="60">
        <f ca="1">VLOOKUP(A50,INDIRECT('LOCCS Import'!$N$3&amp;"$A$3"):INDIRECT('LOCCS Import'!$N$3&amp;"$O$54"),7,)</f>
        <v>5.73</v>
      </c>
      <c r="R50" s="60">
        <f ca="1">VLOOKUP(A50,INDIRECT('LOCCS Import'!$M$3&amp;"$A$3"):INDIRECT('LOCCS Import'!$M$3&amp;"$O$54"),7,)</f>
        <v>5.68</v>
      </c>
      <c r="S50" s="60">
        <f ca="1">VLOOKUP(A50,INDIRECT('LOCCS Import'!$L$3&amp;"$A$3"):INDIRECT('LOCCS Import'!$L$3&amp;"$O$54"),7,)</f>
        <v>5.63</v>
      </c>
      <c r="T50" s="60">
        <f ca="1">VLOOKUP(A50,INDIRECT('LOCCS Import'!$K$3&amp;"$A$3"):INDIRECT('LOCCS Import'!$K$3&amp;"$O$54"),7,)</f>
        <v>5.56</v>
      </c>
      <c r="U50" s="60">
        <f ca="1">VLOOKUP(A50,INDIRECT('LOCCS Import'!$J$3&amp;"$A$3"):INDIRECT('LOCCS Import'!$J$3&amp;"$O$54"),7,)</f>
        <v>5.52</v>
      </c>
      <c r="V50" s="60">
        <f ca="1">VLOOKUP(A50,INDIRECT('LOCCS Import'!$I$3&amp;"$A$3"):INDIRECT('LOCCS Import'!$I$3&amp;"$O$54"),7,)</f>
        <v>5.49</v>
      </c>
      <c r="W50" s="60">
        <f ca="1">VLOOKUP(A50,INDIRECT('LOCCS Import'!$H$3&amp;"$A$3"):INDIRECT('LOCCS Import'!$H$3&amp;"$O$54"),7,)</f>
        <v>5.39</v>
      </c>
      <c r="X50" s="60">
        <f ca="1">VLOOKUP(A50,INDIRECT('LOCCS Import'!$G$3&amp;"$A$3"):INDIRECT('LOCCS Import'!$G$3&amp;"$O$54"),7,)</f>
        <v>5.34</v>
      </c>
      <c r="Y50" s="60">
        <f ca="1">VLOOKUP(A50,INDIRECT('LOCCS Import'!$F$3&amp;"$A$3"):INDIRECT('LOCCS Import'!$F$3&amp;"$O$54"),7,)</f>
        <v>5.22</v>
      </c>
      <c r="Z50" s="60">
        <f ca="1">VLOOKUP(A50,INDIRECT('LOCCS Import'!$E$3&amp;"$A$3"):INDIRECT('LOCCS Import'!$E$3&amp;"$O$54"),7,)</f>
        <v>5</v>
      </c>
      <c r="AA50" s="60">
        <f>VLOOKUP(A50,template!$A$3:$P$54,7,)</f>
        <v>5.85</v>
      </c>
      <c r="AB50" s="58">
        <f t="shared" ca="1" si="6"/>
        <v>5.85</v>
      </c>
      <c r="AC50" s="60">
        <f t="shared" ca="1" si="7"/>
        <v>5</v>
      </c>
      <c r="AD50" s="61">
        <f t="shared" ca="1" si="8"/>
        <v>5.5158333333333331</v>
      </c>
      <c r="AE50" s="84">
        <f t="shared" ca="1" si="9"/>
        <v>49</v>
      </c>
      <c r="AF50" s="138"/>
      <c r="AG50" s="3">
        <f ca="1">VLOOKUP(A50,INDIRECT('LOCCS Import'!$AA$3&amp;"$A$3"):INDIRECT('LOCCS Import'!$AA$3&amp;"$O$54"),8,)</f>
        <v>0.93</v>
      </c>
      <c r="AH50" s="1">
        <f ca="1">VLOOKUP(A50,INDIRECT('LOCCS Import'!$Z$3&amp;"$A$3"):INDIRECT('LOCCS Import'!$Z$3&amp;"$O$54"),8,)</f>
        <v>0.86</v>
      </c>
      <c r="AI50" s="1">
        <f ca="1">VLOOKUP(A50,INDIRECT('LOCCS Import'!$Y$3&amp;"$A$3"):INDIRECT('LOCCS Import'!$Y$3&amp;"$O$54"),8,)</f>
        <v>0.83</v>
      </c>
      <c r="AJ50" s="1">
        <f ca="1">VLOOKUP(A50,INDIRECT('LOCCS Import'!$X$3&amp;"$A$3"):INDIRECT('LOCCS Import'!$X$3&amp;"$O$54"),8,)</f>
        <v>0.92</v>
      </c>
      <c r="AK50" s="1">
        <f ca="1">VLOOKUP(A50,INDIRECT('LOCCS Import'!$W$3&amp;"$A$3"):INDIRECT('LOCCS Import'!$W$3&amp;"$O$54"),8,)</f>
        <v>0.85</v>
      </c>
      <c r="AL50" s="1">
        <f ca="1">VLOOKUP(A50,INDIRECT('LOCCS Import'!$V$3&amp;"$A$3"):INDIRECT('LOCCS Import'!$V$3&amp;"$O$54"),8,)</f>
        <v>0.97</v>
      </c>
      <c r="AM50" s="1">
        <f ca="1">VLOOKUP(A50,INDIRECT('LOCCS Import'!$U$3&amp;"$A$3"):INDIRECT('LOCCS Import'!$U$3&amp;"$O$54"),8,)</f>
        <v>0.97</v>
      </c>
      <c r="AN50" s="1">
        <f ca="1">VLOOKUP(A50,INDIRECT('LOCCS Import'!$T$3&amp;"$A$3"):INDIRECT('LOCCS Import'!$T$3&amp;"$O$54"),8,)</f>
        <v>0.87</v>
      </c>
      <c r="AO50" s="1">
        <f ca="1">VLOOKUP(A50,INDIRECT('LOCCS Import'!$S$3&amp;"$A$3"):INDIRECT('LOCCS Import'!$S$3&amp;"$O$54"),8,)</f>
        <v>0.85</v>
      </c>
      <c r="AP50" s="1">
        <f ca="1">VLOOKUP(A50,INDIRECT('LOCCS Import'!$R$3&amp;"$A$3"):INDIRECT('LOCCS Import'!$R$3&amp;"$O$54"),8,)</f>
        <v>0.89</v>
      </c>
      <c r="AQ50" s="1">
        <f ca="1">VLOOKUP(A50,INDIRECT('LOCCS Import'!$Q$3&amp;"$A$3"):INDIRECT('LOCCS Import'!$Q$3&amp;"$O$54"),8,)</f>
        <v>0.97</v>
      </c>
      <c r="AR50" s="1">
        <f ca="1">VLOOKUP(A50,INDIRECT('LOCCS Import'!$P$3&amp;"$A$3"):INDIRECT('LOCCS Import'!$P$3&amp;"$O$54"),8,)</f>
        <v>0.94</v>
      </c>
      <c r="AS50" s="1">
        <f ca="1">VLOOKUP(A50,INDIRECT('LOCCS Import'!$O$3&amp;"$A$3"):INDIRECT('LOCCS Import'!$O$3&amp;"$O$54"),8,)</f>
        <v>0.9</v>
      </c>
      <c r="AT50" s="1">
        <f ca="1">VLOOKUP(A50,INDIRECT('LOCCS Import'!$N$3&amp;"$A$3"):INDIRECT('LOCCS Import'!$N$3&amp;"$O$54"),8,)</f>
        <v>0.92</v>
      </c>
      <c r="AU50" s="1">
        <f ca="1">VLOOKUP(A50,INDIRECT('LOCCS Import'!$M$3&amp;"$A$3"):INDIRECT('LOCCS Import'!$M$3&amp;"$O$54"),8,)</f>
        <v>0.93</v>
      </c>
      <c r="AV50" s="1">
        <f ca="1">VLOOKUP(A50,INDIRECT('LOCCS Import'!$L$3&amp;"$A$3"):INDIRECT('LOCCS Import'!$L$3&amp;"$O$54"),8,)</f>
        <v>0.88</v>
      </c>
      <c r="AW50" s="1">
        <f ca="1">VLOOKUP(A50,INDIRECT('LOCCS Import'!$K$3&amp;"$A$3"):INDIRECT('LOCCS Import'!$K$3&amp;"$O$54"),8,)</f>
        <v>0.94</v>
      </c>
      <c r="AX50" s="1">
        <f ca="1">VLOOKUP(A50,INDIRECT('LOCCS Import'!$J$3&amp;"$A$3"):INDIRECT('LOCCS Import'!$J$3&amp;"$O$54"),8,)</f>
        <v>0.82</v>
      </c>
      <c r="AY50" s="1">
        <f ca="1">VLOOKUP(A50,INDIRECT('LOCCS Import'!$I$3&amp;"$A$3"):INDIRECT('LOCCS Import'!$I$3&amp;"$O$54"),8,)</f>
        <v>0.78</v>
      </c>
      <c r="AZ50" s="1">
        <f ca="1">VLOOKUP(A50,INDIRECT('LOCCS Import'!$H$3&amp;"$A$3"):INDIRECT('LOCCS Import'!$H$3&amp;"$O$54"),8,)</f>
        <v>0.87</v>
      </c>
      <c r="BA50" s="1">
        <f ca="1">VLOOKUP(A50,INDIRECT('LOCCS Import'!$G$3&amp;"$A$3"):INDIRECT('LOCCS Import'!$G$3&amp;"$O$54"),8,)</f>
        <v>0.88</v>
      </c>
      <c r="BB50" s="1">
        <f ca="1">VLOOKUP(A50,INDIRECT('LOCCS Import'!$F$3&amp;"$A$3"):INDIRECT('LOCCS Import'!$F$3&amp;"$O$54"),8,)</f>
        <v>0.84</v>
      </c>
      <c r="BC50" s="1">
        <f ca="1">VLOOKUP(A50,INDIRECT('LOCCS Import'!$E$3&amp;"$A$3"):INDIRECT('LOCCS Import'!$E$3&amp;"$O$54"),8,)</f>
        <v>0.92</v>
      </c>
      <c r="BD50" s="2">
        <f>VLOOKUP(A50,template!$A$3:$P$54,8,)</f>
        <v>1.02</v>
      </c>
      <c r="BE50" s="2">
        <f t="shared" ca="1" si="10"/>
        <v>0.89166666666666672</v>
      </c>
      <c r="BF50" s="115">
        <f t="shared" ca="1" si="5"/>
        <v>28</v>
      </c>
    </row>
    <row r="51" spans="1:58" x14ac:dyDescent="0.3">
      <c r="A51" s="67" t="s">
        <v>63</v>
      </c>
      <c r="B51" s="64" t="s">
        <v>72</v>
      </c>
      <c r="C51" s="64" t="s">
        <v>129</v>
      </c>
      <c r="D51" s="58">
        <f ca="1">VLOOKUP(A51,INDIRECT('LOCCS Import'!$AA$3&amp;"$A$3"):INDIRECT('LOCCS Import'!$AA$3&amp;"$O$54"),7,)</f>
        <v>2.2999999999999998</v>
      </c>
      <c r="E51" s="60">
        <f ca="1">VLOOKUP(A51,INDIRECT('LOCCS Import'!$Z$3&amp;"$A$3"):INDIRECT('LOCCS Import'!$Z$3&amp;"$O$54"),7,)</f>
        <v>2.19</v>
      </c>
      <c r="F51" s="60">
        <f ca="1">VLOOKUP(A51,INDIRECT('LOCCS Import'!$Y$3&amp;"$A$3"):INDIRECT('LOCCS Import'!$Y$3&amp;"$O$54"),7,)</f>
        <v>2.14</v>
      </c>
      <c r="G51" s="60">
        <f ca="1">VLOOKUP(A51,INDIRECT('LOCCS Import'!$X$3&amp;"$A$3"):INDIRECT('LOCCS Import'!$X$3&amp;"$O$54"),7,)</f>
        <v>1.94</v>
      </c>
      <c r="H51" s="60">
        <f ca="1">VLOOKUP(A51,INDIRECT('LOCCS Import'!$W$3&amp;"$A$3"):INDIRECT('LOCCS Import'!$W$3&amp;"$O$54"),7,)</f>
        <v>1.88</v>
      </c>
      <c r="I51" s="60">
        <f ca="1">VLOOKUP(A51,INDIRECT('LOCCS Import'!$V$3&amp;"$A$3"):INDIRECT('LOCCS Import'!$V$3&amp;"$O$54"),7,)</f>
        <v>1.88</v>
      </c>
      <c r="J51" s="60">
        <f ca="1">VLOOKUP(A51,INDIRECT('LOCCS Import'!$U$3&amp;"$A$3"):INDIRECT('LOCCS Import'!$U$3&amp;"$O$54"),7,)</f>
        <v>1.88</v>
      </c>
      <c r="K51" s="60">
        <f ca="1">VLOOKUP(A51,INDIRECT('LOCCS Import'!$T$3&amp;"$A$3"):INDIRECT('LOCCS Import'!$T$3&amp;"$O$54"),7,)</f>
        <v>1.82</v>
      </c>
      <c r="L51" s="60">
        <f ca="1">VLOOKUP(A51,INDIRECT('LOCCS Import'!$S$3&amp;"$A$3"):INDIRECT('LOCCS Import'!$S$3&amp;"$O$54"),7,)</f>
        <v>1.82</v>
      </c>
      <c r="M51" s="60">
        <f ca="1">VLOOKUP(A51,INDIRECT('LOCCS Import'!$R$3&amp;"$A$3"):INDIRECT('LOCCS Import'!$R$3&amp;"$O$54"),7,)</f>
        <v>1.8</v>
      </c>
      <c r="N51" s="60">
        <f ca="1">VLOOKUP(A51,INDIRECT('LOCCS Import'!$Q$3&amp;"$A$3"):INDIRECT('LOCCS Import'!$Q$3&amp;"$O$54"),7,)</f>
        <v>1.77</v>
      </c>
      <c r="O51" s="60">
        <f ca="1">VLOOKUP(A51,INDIRECT('LOCCS Import'!$P$3&amp;"$A$3"):INDIRECT('LOCCS Import'!$P$3&amp;"$O$54"),7,)</f>
        <v>2.5</v>
      </c>
      <c r="P51" s="60">
        <f ca="1">VLOOKUP(A51,INDIRECT('LOCCS Import'!$O$3&amp;"$A$3"):INDIRECT('LOCCS Import'!$O$3&amp;"$O$54"),7,)</f>
        <v>2.5</v>
      </c>
      <c r="Q51" s="60">
        <f ca="1">VLOOKUP(A51,INDIRECT('LOCCS Import'!$N$3&amp;"$A$3"):INDIRECT('LOCCS Import'!$N$3&amp;"$O$54"),7,)</f>
        <v>2.3199999999999998</v>
      </c>
      <c r="R51" s="60">
        <f ca="1">VLOOKUP(A51,INDIRECT('LOCCS Import'!$M$3&amp;"$A$3"):INDIRECT('LOCCS Import'!$M$3&amp;"$O$54"),7,)</f>
        <v>2.2200000000000002</v>
      </c>
      <c r="S51" s="60">
        <f ca="1">VLOOKUP(A51,INDIRECT('LOCCS Import'!$L$3&amp;"$A$3"):INDIRECT('LOCCS Import'!$L$3&amp;"$O$54"),7,)</f>
        <v>2.1</v>
      </c>
      <c r="T51" s="60">
        <f ca="1">VLOOKUP(A51,INDIRECT('LOCCS Import'!$K$3&amp;"$A$3"):INDIRECT('LOCCS Import'!$K$3&amp;"$O$54"),7,)</f>
        <v>2.1</v>
      </c>
      <c r="U51" s="60">
        <f ca="1">VLOOKUP(A51,INDIRECT('LOCCS Import'!$J$3&amp;"$A$3"):INDIRECT('LOCCS Import'!$J$3&amp;"$O$54"),7,)</f>
        <v>2.0299999999999998</v>
      </c>
      <c r="V51" s="60">
        <f ca="1">VLOOKUP(A51,INDIRECT('LOCCS Import'!$I$3&amp;"$A$3"):INDIRECT('LOCCS Import'!$I$3&amp;"$O$54"),7,)</f>
        <v>1.97</v>
      </c>
      <c r="W51" s="60">
        <f ca="1">VLOOKUP(A51,INDIRECT('LOCCS Import'!$H$3&amp;"$A$3"):INDIRECT('LOCCS Import'!$H$3&amp;"$O$54"),7,)</f>
        <v>1.95</v>
      </c>
      <c r="X51" s="60">
        <f ca="1">VLOOKUP(A51,INDIRECT('LOCCS Import'!$G$3&amp;"$A$3"):INDIRECT('LOCCS Import'!$G$3&amp;"$O$54"),7,)</f>
        <v>1.94</v>
      </c>
      <c r="Y51" s="60">
        <f ca="1">VLOOKUP(A51,INDIRECT('LOCCS Import'!$F$3&amp;"$A$3"):INDIRECT('LOCCS Import'!$F$3&amp;"$O$54"),7,)</f>
        <v>1.82</v>
      </c>
      <c r="Z51" s="60">
        <f ca="1">VLOOKUP(A51,INDIRECT('LOCCS Import'!$E$3&amp;"$A$3"):INDIRECT('LOCCS Import'!$E$3&amp;"$O$54"),7,)</f>
        <v>1.74</v>
      </c>
      <c r="AA51" s="60">
        <f>VLOOKUP(A51,template!$A$3:$P$54,7,)</f>
        <v>2.71</v>
      </c>
      <c r="AB51" s="58">
        <f t="shared" ca="1" si="6"/>
        <v>2.71</v>
      </c>
      <c r="AC51" s="60">
        <f t="shared" ca="1" si="7"/>
        <v>1.74</v>
      </c>
      <c r="AD51" s="61">
        <f t="shared" ca="1" si="8"/>
        <v>2.1166666666666667</v>
      </c>
      <c r="AE51" s="84">
        <f t="shared" ca="1" si="9"/>
        <v>8</v>
      </c>
      <c r="AF51" s="138"/>
      <c r="AG51" s="3">
        <f ca="1">VLOOKUP(A51,INDIRECT('LOCCS Import'!$AA$3&amp;"$A$3"):INDIRECT('LOCCS Import'!$AA$3&amp;"$O$54"),8,)</f>
        <v>1.19</v>
      </c>
      <c r="AH51" s="1">
        <f ca="1">VLOOKUP(A51,INDIRECT('LOCCS Import'!$Z$3&amp;"$A$3"):INDIRECT('LOCCS Import'!$Z$3&amp;"$O$54"),8,)</f>
        <v>1.1499999999999999</v>
      </c>
      <c r="AI51" s="1">
        <f ca="1">VLOOKUP(A51,INDIRECT('LOCCS Import'!$Y$3&amp;"$A$3"):INDIRECT('LOCCS Import'!$Y$3&amp;"$O$54"),8,)</f>
        <v>0.99</v>
      </c>
      <c r="AJ51" s="1">
        <f ca="1">VLOOKUP(A51,INDIRECT('LOCCS Import'!$X$3&amp;"$A$3"):INDIRECT('LOCCS Import'!$X$3&amp;"$O$54"),8,)</f>
        <v>1.0900000000000001</v>
      </c>
      <c r="AK51" s="1">
        <f ca="1">VLOOKUP(A51,INDIRECT('LOCCS Import'!$W$3&amp;"$A$3"):INDIRECT('LOCCS Import'!$W$3&amp;"$O$54"),8,)</f>
        <v>1.1000000000000001</v>
      </c>
      <c r="AL51" s="1">
        <f ca="1">VLOOKUP(A51,INDIRECT('LOCCS Import'!$V$3&amp;"$A$3"):INDIRECT('LOCCS Import'!$V$3&amp;"$O$54"),8,)</f>
        <v>0.95</v>
      </c>
      <c r="AM51" s="1">
        <f ca="1">VLOOKUP(A51,INDIRECT('LOCCS Import'!$U$3&amp;"$A$3"):INDIRECT('LOCCS Import'!$U$3&amp;"$O$54"),8,)</f>
        <v>0.95</v>
      </c>
      <c r="AN51" s="1">
        <f ca="1">VLOOKUP(A51,INDIRECT('LOCCS Import'!$T$3&amp;"$A$3"):INDIRECT('LOCCS Import'!$T$3&amp;"$O$54"),8,)</f>
        <v>0.99</v>
      </c>
      <c r="AO51" s="1">
        <f ca="1">VLOOKUP(A51,INDIRECT('LOCCS Import'!$S$3&amp;"$A$3"):INDIRECT('LOCCS Import'!$S$3&amp;"$O$54"),8,)</f>
        <v>0.88</v>
      </c>
      <c r="AP51" s="1">
        <f ca="1">VLOOKUP(A51,INDIRECT('LOCCS Import'!$R$3&amp;"$A$3"):INDIRECT('LOCCS Import'!$R$3&amp;"$O$54"),8,)</f>
        <v>0.83</v>
      </c>
      <c r="AQ51" s="1">
        <f ca="1">VLOOKUP(A51,INDIRECT('LOCCS Import'!$Q$3&amp;"$A$3"):INDIRECT('LOCCS Import'!$Q$3&amp;"$O$54"),8,)</f>
        <v>0.85</v>
      </c>
      <c r="AR51" s="1">
        <f ca="1">VLOOKUP(A51,INDIRECT('LOCCS Import'!$P$3&amp;"$A$3"):INDIRECT('LOCCS Import'!$P$3&amp;"$O$54"),8,)</f>
        <v>0.92</v>
      </c>
      <c r="AS51" s="1">
        <f ca="1">VLOOKUP(A51,INDIRECT('LOCCS Import'!$O$3&amp;"$A$3"):INDIRECT('LOCCS Import'!$O$3&amp;"$O$54"),8,)</f>
        <v>0.78</v>
      </c>
      <c r="AT51" s="1">
        <f ca="1">VLOOKUP(A51,INDIRECT('LOCCS Import'!$N$3&amp;"$A$3"):INDIRECT('LOCCS Import'!$N$3&amp;"$O$54"),8,)</f>
        <v>0.85</v>
      </c>
      <c r="AU51" s="1">
        <f ca="1">VLOOKUP(A51,INDIRECT('LOCCS Import'!$M$3&amp;"$A$3"):INDIRECT('LOCCS Import'!$M$3&amp;"$O$54"),8,)</f>
        <v>0.9</v>
      </c>
      <c r="AV51" s="1">
        <f ca="1">VLOOKUP(A51,INDIRECT('LOCCS Import'!$L$3&amp;"$A$3"):INDIRECT('LOCCS Import'!$L$3&amp;"$O$54"),8,)</f>
        <v>0.81</v>
      </c>
      <c r="AW51" s="1">
        <f ca="1">VLOOKUP(A51,INDIRECT('LOCCS Import'!$K$3&amp;"$A$3"):INDIRECT('LOCCS Import'!$K$3&amp;"$O$54"),8,)</f>
        <v>0.75</v>
      </c>
      <c r="AX51" s="1">
        <f ca="1">VLOOKUP(A51,INDIRECT('LOCCS Import'!$J$3&amp;"$A$3"):INDIRECT('LOCCS Import'!$J$3&amp;"$O$54"),8,)</f>
        <v>0.83</v>
      </c>
      <c r="AY51" s="1">
        <f ca="1">VLOOKUP(A51,INDIRECT('LOCCS Import'!$I$3&amp;"$A$3"):INDIRECT('LOCCS Import'!$I$3&amp;"$O$54"),8,)</f>
        <v>0.83</v>
      </c>
      <c r="AZ51" s="1">
        <f ca="1">VLOOKUP(A51,INDIRECT('LOCCS Import'!$H$3&amp;"$A$3"):INDIRECT('LOCCS Import'!$H$3&amp;"$O$54"),8,)</f>
        <v>0.84</v>
      </c>
      <c r="BA51" s="1">
        <f ca="1">VLOOKUP(A51,INDIRECT('LOCCS Import'!$G$3&amp;"$A$3"):INDIRECT('LOCCS Import'!$G$3&amp;"$O$54"),8,)</f>
        <v>0.86</v>
      </c>
      <c r="BB51" s="1">
        <f ca="1">VLOOKUP(A51,INDIRECT('LOCCS Import'!$F$3&amp;"$A$3"):INDIRECT('LOCCS Import'!$F$3&amp;"$O$54"),8,)</f>
        <v>0.96</v>
      </c>
      <c r="BC51" s="1">
        <f ca="1">VLOOKUP(A51,INDIRECT('LOCCS Import'!$E$3&amp;"$A$3"):INDIRECT('LOCCS Import'!$E$3&amp;"$O$54"),8,)</f>
        <v>1.01</v>
      </c>
      <c r="BD51" s="2">
        <f>VLOOKUP(A51,template!$A$3:$P$54,8,)</f>
        <v>0.8</v>
      </c>
      <c r="BE51" s="2">
        <f t="shared" ca="1" si="10"/>
        <v>0.85166666666666668</v>
      </c>
      <c r="BF51" s="115">
        <f t="shared" ca="1" si="5"/>
        <v>33</v>
      </c>
    </row>
    <row r="52" spans="1:58" x14ac:dyDescent="0.3">
      <c r="A52" s="68" t="s">
        <v>64</v>
      </c>
      <c r="B52" s="69" t="s">
        <v>70</v>
      </c>
      <c r="C52" s="69" t="s">
        <v>130</v>
      </c>
      <c r="D52" s="73">
        <f ca="1">VLOOKUP(A52,INDIRECT('LOCCS Import'!$AA$3&amp;"$A$3"):INDIRECT('LOCCS Import'!$AA$3&amp;"$O$54"),7,)</f>
        <v>4.71</v>
      </c>
      <c r="E52" s="70">
        <f ca="1">VLOOKUP(A52,INDIRECT('LOCCS Import'!$Z$3&amp;"$A$3"):INDIRECT('LOCCS Import'!$Z$3&amp;"$O$54"),7,)</f>
        <v>4.71</v>
      </c>
      <c r="F52" s="70">
        <f ca="1">VLOOKUP(A52,INDIRECT('LOCCS Import'!$Y$3&amp;"$A$3"):INDIRECT('LOCCS Import'!$Y$3&amp;"$O$54"),7,)</f>
        <v>4.6900000000000004</v>
      </c>
      <c r="G52" s="70">
        <f ca="1">VLOOKUP(A52,INDIRECT('LOCCS Import'!$X$3&amp;"$A$3"):INDIRECT('LOCCS Import'!$X$3&amp;"$O$54"),7,)</f>
        <v>4.6900000000000004</v>
      </c>
      <c r="H52" s="70">
        <f ca="1">VLOOKUP(A52,INDIRECT('LOCCS Import'!$W$3&amp;"$A$3"):INDIRECT('LOCCS Import'!$W$3&amp;"$O$54"),7,)</f>
        <v>4.68</v>
      </c>
      <c r="I52" s="70">
        <f ca="1">VLOOKUP(A52,INDIRECT('LOCCS Import'!$V$3&amp;"$A$3"):INDIRECT('LOCCS Import'!$V$3&amp;"$O$54"),7,)</f>
        <v>4.67</v>
      </c>
      <c r="J52" s="70">
        <f ca="1">VLOOKUP(A52,INDIRECT('LOCCS Import'!$U$3&amp;"$A$3"):INDIRECT('LOCCS Import'!$U$3&amp;"$O$54"),7,)</f>
        <v>4.67</v>
      </c>
      <c r="K52" s="70">
        <f ca="1">VLOOKUP(A52,INDIRECT('LOCCS Import'!$T$3&amp;"$A$3"):INDIRECT('LOCCS Import'!$T$3&amp;"$O$54"),7,)</f>
        <v>4.6500000000000004</v>
      </c>
      <c r="L52" s="70">
        <f ca="1">VLOOKUP(A52,INDIRECT('LOCCS Import'!$S$3&amp;"$A$3"):INDIRECT('LOCCS Import'!$S$3&amp;"$O$54"),7,)</f>
        <v>4.63</v>
      </c>
      <c r="M52" s="70">
        <f ca="1">VLOOKUP(A52,INDIRECT('LOCCS Import'!$R$3&amp;"$A$3"):INDIRECT('LOCCS Import'!$R$3&amp;"$O$54"),7,)</f>
        <v>4.47</v>
      </c>
      <c r="N52" s="70">
        <f ca="1">VLOOKUP(A52,INDIRECT('LOCCS Import'!$Q$3&amp;"$A$3"):INDIRECT('LOCCS Import'!$Q$3&amp;"$O$54"),7,)</f>
        <v>4.46</v>
      </c>
      <c r="O52" s="70">
        <f ca="1">VLOOKUP(A52,INDIRECT('LOCCS Import'!$P$3&amp;"$A$3"):INDIRECT('LOCCS Import'!$P$3&amp;"$O$54"),7,)</f>
        <v>5.21</v>
      </c>
      <c r="P52" s="70">
        <f ca="1">VLOOKUP(A52,INDIRECT('LOCCS Import'!$O$3&amp;"$A$3"):INDIRECT('LOCCS Import'!$O$3&amp;"$O$54"),7,)</f>
        <v>5.03</v>
      </c>
      <c r="Q52" s="70">
        <f ca="1">VLOOKUP(A52,INDIRECT('LOCCS Import'!$N$3&amp;"$A$3"):INDIRECT('LOCCS Import'!$N$3&amp;"$O$54"),7,)</f>
        <v>4.7300000000000004</v>
      </c>
      <c r="R52" s="70">
        <f ca="1">VLOOKUP(A52,INDIRECT('LOCCS Import'!$M$3&amp;"$A$3"):INDIRECT('LOCCS Import'!$M$3&amp;"$O$54"),7,)</f>
        <v>4.58</v>
      </c>
      <c r="S52" s="70">
        <f ca="1">VLOOKUP(A52,INDIRECT('LOCCS Import'!$L$3&amp;"$A$3"):INDIRECT('LOCCS Import'!$L$3&amp;"$O$54"),7,)</f>
        <v>4.58</v>
      </c>
      <c r="T52" s="70">
        <f ca="1">VLOOKUP(A52,INDIRECT('LOCCS Import'!$K$3&amp;"$A$3"):INDIRECT('LOCCS Import'!$K$3&amp;"$O$54"),7,)</f>
        <v>4.2699999999999996</v>
      </c>
      <c r="U52" s="70">
        <f ca="1">VLOOKUP(A52,INDIRECT('LOCCS Import'!$J$3&amp;"$A$3"):INDIRECT('LOCCS Import'!$J$3&amp;"$O$54"),7,)</f>
        <v>4.2</v>
      </c>
      <c r="V52" s="70">
        <f ca="1">VLOOKUP(A52,INDIRECT('LOCCS Import'!$I$3&amp;"$A$3"):INDIRECT('LOCCS Import'!$I$3&amp;"$O$54"),7,)</f>
        <v>4.1900000000000004</v>
      </c>
      <c r="W52" s="70">
        <f ca="1">VLOOKUP(A52,INDIRECT('LOCCS Import'!$H$3&amp;"$A$3"):INDIRECT('LOCCS Import'!$H$3&amp;"$O$54"),7,)</f>
        <v>4.18</v>
      </c>
      <c r="X52" s="70">
        <f ca="1">VLOOKUP(A52,INDIRECT('LOCCS Import'!$G$3&amp;"$A$3"):INDIRECT('LOCCS Import'!$G$3&amp;"$O$54"),7,)</f>
        <v>4.18</v>
      </c>
      <c r="Y52" s="70">
        <f ca="1">VLOOKUP(A52,INDIRECT('LOCCS Import'!$F$3&amp;"$A$3"):INDIRECT('LOCCS Import'!$F$3&amp;"$O$54"),7,)</f>
        <v>3.73</v>
      </c>
      <c r="Z52" s="70">
        <f ca="1">VLOOKUP(A52,INDIRECT('LOCCS Import'!$E$3&amp;"$A$3"):INDIRECT('LOCCS Import'!$E$3&amp;"$O$54"),7,)</f>
        <v>3.58</v>
      </c>
      <c r="AA52" s="70">
        <f>VLOOKUP(A52,template!$A$3:$P$54,7,)</f>
        <v>3.53</v>
      </c>
      <c r="AB52" s="73">
        <f t="shared" ca="1" si="6"/>
        <v>5.03</v>
      </c>
      <c r="AC52" s="70">
        <f t="shared" ca="1" si="7"/>
        <v>3.53</v>
      </c>
      <c r="AD52" s="71">
        <f t="shared" ca="1" si="8"/>
        <v>4.2316666666666665</v>
      </c>
      <c r="AE52" s="84">
        <f t="shared" ca="1" si="9"/>
        <v>46</v>
      </c>
      <c r="AF52" s="138"/>
      <c r="AG52" s="104">
        <f ca="1">VLOOKUP(A52,INDIRECT('LOCCS Import'!$AA$3&amp;"$A$3"):INDIRECT('LOCCS Import'!$AA$3&amp;"$O$54"),8,)</f>
        <v>0.49</v>
      </c>
      <c r="AH52" s="105">
        <f ca="1">VLOOKUP(A52,INDIRECT('LOCCS Import'!$Z$3&amp;"$A$3"):INDIRECT('LOCCS Import'!$Z$3&amp;"$O$54"),8,)</f>
        <v>0.49</v>
      </c>
      <c r="AI52" s="105">
        <f ca="1">VLOOKUP(A52,INDIRECT('LOCCS Import'!$Y$3&amp;"$A$3"):INDIRECT('LOCCS Import'!$Y$3&amp;"$O$54"),8,)</f>
        <v>0.49</v>
      </c>
      <c r="AJ52" s="105">
        <f ca="1">VLOOKUP(A52,INDIRECT('LOCCS Import'!$X$3&amp;"$A$3"):INDIRECT('LOCCS Import'!$X$3&amp;"$O$54"),8,)</f>
        <v>0.49</v>
      </c>
      <c r="AK52" s="105">
        <f ca="1">VLOOKUP(A52,INDIRECT('LOCCS Import'!$W$3&amp;"$A$3"):INDIRECT('LOCCS Import'!$W$3&amp;"$O$54"),8,)</f>
        <v>0.5</v>
      </c>
      <c r="AL52" s="105">
        <f ca="1">VLOOKUP(A52,INDIRECT('LOCCS Import'!$V$3&amp;"$A$3"):INDIRECT('LOCCS Import'!$V$3&amp;"$O$54"),8,)</f>
        <v>0.5</v>
      </c>
      <c r="AM52" s="105">
        <f ca="1">VLOOKUP(A52,INDIRECT('LOCCS Import'!$U$3&amp;"$A$3"):INDIRECT('LOCCS Import'!$U$3&amp;"$O$54"),8,)</f>
        <v>0.5</v>
      </c>
      <c r="AN52" s="105">
        <f ca="1">VLOOKUP(A52,INDIRECT('LOCCS Import'!$T$3&amp;"$A$3"):INDIRECT('LOCCS Import'!$T$3&amp;"$O$54"),8,)</f>
        <v>0.34</v>
      </c>
      <c r="AO52" s="105">
        <f ca="1">VLOOKUP(A52,INDIRECT('LOCCS Import'!$S$3&amp;"$A$3"):INDIRECT('LOCCS Import'!$S$3&amp;"$O$54"),8,)</f>
        <v>0.31</v>
      </c>
      <c r="AP52" s="105">
        <f ca="1">VLOOKUP(A52,INDIRECT('LOCCS Import'!$R$3&amp;"$A$3"):INDIRECT('LOCCS Import'!$R$3&amp;"$O$54"),8,)</f>
        <v>0.4</v>
      </c>
      <c r="AQ52" s="105">
        <f ca="1">VLOOKUP(A52,INDIRECT('LOCCS Import'!$Q$3&amp;"$A$3"):INDIRECT('LOCCS Import'!$Q$3&amp;"$O$54"),8,)</f>
        <v>0.33</v>
      </c>
      <c r="AR52" s="105">
        <f ca="1">VLOOKUP(A52,INDIRECT('LOCCS Import'!$P$3&amp;"$A$3"):INDIRECT('LOCCS Import'!$P$3&amp;"$O$54"),8,)</f>
        <v>0.51</v>
      </c>
      <c r="AS52" s="105">
        <f ca="1">VLOOKUP(A52,INDIRECT('LOCCS Import'!$O$3&amp;"$A$3"):INDIRECT('LOCCS Import'!$O$3&amp;"$O$54"),8,)</f>
        <v>0.65</v>
      </c>
      <c r="AT52" s="105">
        <f ca="1">VLOOKUP(A52,INDIRECT('LOCCS Import'!$N$3&amp;"$A$3"):INDIRECT('LOCCS Import'!$N$3&amp;"$O$54"),8,)</f>
        <v>0.94</v>
      </c>
      <c r="AU52" s="105">
        <f ca="1">VLOOKUP(A52,INDIRECT('LOCCS Import'!$M$3&amp;"$A$3"):INDIRECT('LOCCS Import'!$M$3&amp;"$O$54"),8,)</f>
        <v>1.08</v>
      </c>
      <c r="AV52" s="105">
        <f ca="1">VLOOKUP(A52,INDIRECT('LOCCS Import'!$L$3&amp;"$A$3"):INDIRECT('LOCCS Import'!$L$3&amp;"$O$54"),8,)</f>
        <v>1.07</v>
      </c>
      <c r="AW52" s="105">
        <f ca="1">VLOOKUP(A52,INDIRECT('LOCCS Import'!$K$3&amp;"$A$3"):INDIRECT('LOCCS Import'!$K$3&amp;"$O$54"),8,)</f>
        <v>1.38</v>
      </c>
      <c r="AX52" s="105">
        <f ca="1">VLOOKUP(A52,INDIRECT('LOCCS Import'!$J$3&amp;"$A$3"):INDIRECT('LOCCS Import'!$J$3&amp;"$O$54"),8,)</f>
        <v>1.44</v>
      </c>
      <c r="AY52" s="105">
        <f ca="1">VLOOKUP(A52,INDIRECT('LOCCS Import'!$I$3&amp;"$A$3"):INDIRECT('LOCCS Import'!$I$3&amp;"$O$54"),8,)</f>
        <v>1.45</v>
      </c>
      <c r="AZ52" s="105">
        <f ca="1">VLOOKUP(A52,INDIRECT('LOCCS Import'!$H$3&amp;"$A$3"):INDIRECT('LOCCS Import'!$H$3&amp;"$O$54"),8,)</f>
        <v>1.44</v>
      </c>
      <c r="BA52" s="105">
        <f ca="1">VLOOKUP(A52,INDIRECT('LOCCS Import'!$G$3&amp;"$A$3"):INDIRECT('LOCCS Import'!$G$3&amp;"$O$54"),8,)</f>
        <v>1.42</v>
      </c>
      <c r="BB52" s="105">
        <f ca="1">VLOOKUP(A52,INDIRECT('LOCCS Import'!$F$3&amp;"$A$3"):INDIRECT('LOCCS Import'!$F$3&amp;"$O$54"),8,)</f>
        <v>1.7</v>
      </c>
      <c r="BC52" s="105">
        <f ca="1">VLOOKUP(A52,INDIRECT('LOCCS Import'!$E$3&amp;"$A$3"):INDIRECT('LOCCS Import'!$E$3&amp;"$O$54"),8,)</f>
        <v>1.85</v>
      </c>
      <c r="BD52" s="106">
        <f>VLOOKUP(A52,template!$A$3:$P$54,8,)</f>
        <v>1.69</v>
      </c>
      <c r="BE52" s="2">
        <f t="shared" ca="1" si="10"/>
        <v>1.3425</v>
      </c>
      <c r="BF52" s="115">
        <f t="shared" ca="1" si="5"/>
        <v>7</v>
      </c>
    </row>
    <row r="53" spans="1:58" x14ac:dyDescent="0.3">
      <c r="A53" s="89" t="s">
        <v>158</v>
      </c>
      <c r="B53" s="66"/>
      <c r="C53" s="85" t="s">
        <v>137</v>
      </c>
      <c r="D53" s="56">
        <f ca="1">VLOOKUP(A53,INDIRECT('LOCCS Import'!$AA$3&amp;"$A$3"):INDIRECT('LOCCS Import'!$AA$3&amp;"$O$54"),7,)</f>
        <v>3.39</v>
      </c>
      <c r="E53" s="56">
        <f ca="1">VLOOKUP(A53,INDIRECT('LOCCS Import'!$Z$3&amp;"$A$3"):INDIRECT('LOCCS Import'!$Z$3&amp;"$O$54"),7,)</f>
        <v>3.43</v>
      </c>
      <c r="F53" s="56">
        <f ca="1">VLOOKUP(A53,INDIRECT('LOCCS Import'!$Y$3&amp;"$A$3"):INDIRECT('LOCCS Import'!$Y$3&amp;"$O$54"),7,)</f>
        <v>3.43</v>
      </c>
      <c r="G53" s="56">
        <f ca="1">VLOOKUP(A53,INDIRECT('LOCCS Import'!$X$3&amp;"$A$3"):INDIRECT('LOCCS Import'!$X$3&amp;"$O$54"),7,)</f>
        <v>3.43</v>
      </c>
      <c r="H53" s="56">
        <f ca="1">VLOOKUP(A53,INDIRECT('LOCCS Import'!$W$3&amp;"$A$3"):INDIRECT('LOCCS Import'!$W$3&amp;"$O$54"),7,)</f>
        <v>3.36</v>
      </c>
      <c r="I53" s="56">
        <f ca="1">VLOOKUP(A53,INDIRECT('LOCCS Import'!$V$3&amp;"$A$3"):INDIRECT('LOCCS Import'!$V$3&amp;"$O$54"),7,)</f>
        <v>3.29</v>
      </c>
      <c r="J53" s="56">
        <f ca="1">VLOOKUP(A53,INDIRECT('LOCCS Import'!$U$3&amp;"$A$3"):INDIRECT('LOCCS Import'!$U$3&amp;"$O$54"),7,)</f>
        <v>3.29</v>
      </c>
      <c r="K53" s="56">
        <f ca="1">VLOOKUP(A53,INDIRECT('LOCCS Import'!$T$3&amp;"$A$3"):INDIRECT('LOCCS Import'!$T$3&amp;"$O$54"),7,)</f>
        <v>3.16</v>
      </c>
      <c r="L53" s="56">
        <f ca="1">VLOOKUP(A53,INDIRECT('LOCCS Import'!$S$3&amp;"$A$3"):INDIRECT('LOCCS Import'!$S$3&amp;"$O$54"),7,)</f>
        <v>3.08</v>
      </c>
      <c r="M53" s="56">
        <f ca="1">VLOOKUP(A53,INDIRECT('LOCCS Import'!$R$3&amp;"$A$3"):INDIRECT('LOCCS Import'!$R$3&amp;"$O$54"),7,)</f>
        <v>3</v>
      </c>
      <c r="N53" s="56">
        <f ca="1">VLOOKUP(A53,INDIRECT('LOCCS Import'!$Q$3&amp;"$A$3"):INDIRECT('LOCCS Import'!$Q$3&amp;"$O$54"),7,)</f>
        <v>2.89</v>
      </c>
      <c r="O53" s="56">
        <f ca="1">VLOOKUP(A53,INDIRECT('LOCCS Import'!$P$3&amp;"$A$3"):INDIRECT('LOCCS Import'!$P$3&amp;"$O$54"),7,)</f>
        <v>3.56</v>
      </c>
      <c r="P53" s="56">
        <f ca="1">VLOOKUP(A53,INDIRECT('LOCCS Import'!$O$3&amp;"$A$3"):INDIRECT('LOCCS Import'!$O$3&amp;"$O$54"),7,)</f>
        <v>3.46</v>
      </c>
      <c r="Q53" s="56">
        <f ca="1">VLOOKUP(A53,INDIRECT('LOCCS Import'!$N$3&amp;"$A$3"):INDIRECT('LOCCS Import'!$N$3&amp;"$O$54"),7,)</f>
        <v>3.38</v>
      </c>
      <c r="R53" s="56">
        <f ca="1">VLOOKUP(A53,INDIRECT('LOCCS Import'!$M$3&amp;"$A$3"):INDIRECT('LOCCS Import'!$M$3&amp;"$O$54"),7,)</f>
        <v>3.39</v>
      </c>
      <c r="S53" s="56">
        <f ca="1">VLOOKUP(A53,INDIRECT('LOCCS Import'!$L$3&amp;"$A$3"):INDIRECT('LOCCS Import'!$L$3&amp;"$O$54"),7,)</f>
        <v>3.42</v>
      </c>
      <c r="T53" s="56">
        <f ca="1">VLOOKUP(A53,INDIRECT('LOCCS Import'!$K$3&amp;"$A$3"):INDIRECT('LOCCS Import'!$K$3&amp;"$O$54"),7,)</f>
        <v>3.37</v>
      </c>
      <c r="U53" s="56">
        <f ca="1">VLOOKUP(A53,INDIRECT('LOCCS Import'!$J$3&amp;"$A$3"):INDIRECT('LOCCS Import'!$J$3&amp;"$O$54"),7,)</f>
        <v>3.32</v>
      </c>
      <c r="V53" s="56">
        <f ca="1">VLOOKUP(A53,INDIRECT('LOCCS Import'!$I$3&amp;"$A$3"):INDIRECT('LOCCS Import'!$I$3&amp;"$O$54"),7,)</f>
        <v>3.25</v>
      </c>
      <c r="W53" s="56">
        <f ca="1">VLOOKUP(A53,INDIRECT('LOCCS Import'!$H$3&amp;"$A$3"):INDIRECT('LOCCS Import'!$H$3&amp;"$O$54"),7,)</f>
        <v>3.18</v>
      </c>
      <c r="X53" s="56">
        <f ca="1">VLOOKUP(A53,INDIRECT('LOCCS Import'!$G$3&amp;"$A$3"):INDIRECT('LOCCS Import'!$G$3&amp;"$O$54"),7,)</f>
        <v>3.07</v>
      </c>
      <c r="Y53" s="56">
        <f ca="1">VLOOKUP(A53,INDIRECT('LOCCS Import'!$F$3&amp;"$A$3"):INDIRECT('LOCCS Import'!$F$3&amp;"$O$54"),7,)</f>
        <v>2.98</v>
      </c>
      <c r="Z53" s="56">
        <f ca="1">VLOOKUP(A53,INDIRECT('LOCCS Import'!$E$3&amp;"$A$3"):INDIRECT('LOCCS Import'!$E$3&amp;"$O$54"),7,)</f>
        <v>2.9</v>
      </c>
      <c r="AA53" s="56">
        <f>VLOOKUP(A53,template!$A$3:$P$54,7,)</f>
        <v>3.26</v>
      </c>
      <c r="AB53" s="55">
        <f t="shared" ca="1" si="6"/>
        <v>3.46</v>
      </c>
      <c r="AC53" s="56">
        <f t="shared" ca="1" si="7"/>
        <v>2.9</v>
      </c>
      <c r="AD53" s="56">
        <f t="shared" ca="1" si="8"/>
        <v>3.2483333333333331</v>
      </c>
      <c r="AE53" s="93"/>
      <c r="AF53" s="138"/>
      <c r="AG53" s="41">
        <f ca="1">VLOOKUP(A53,INDIRECT('LOCCS Import'!$AA$3&amp;"$A$3"):INDIRECT('LOCCS Import'!$AA$3&amp;"$O$54"),8,)</f>
        <v>0.93</v>
      </c>
      <c r="AH53" s="42">
        <f ca="1">VLOOKUP(A53,INDIRECT('LOCCS Import'!$Z$3&amp;"$A$3"):INDIRECT('LOCCS Import'!$Z$3&amp;"$O$54"),8,)</f>
        <v>0.94</v>
      </c>
      <c r="AI53" s="42">
        <f ca="1">VLOOKUP(A53,INDIRECT('LOCCS Import'!$Y$3&amp;"$A$3"):INDIRECT('LOCCS Import'!$Y$3&amp;"$O$54"),8,)</f>
        <v>0.93</v>
      </c>
      <c r="AJ53" s="42">
        <f ca="1">VLOOKUP(A53,INDIRECT('LOCCS Import'!$X$3&amp;"$A$3"):INDIRECT('LOCCS Import'!$X$3&amp;"$O$54"),8,)</f>
        <v>0.96</v>
      </c>
      <c r="AK53" s="42">
        <f ca="1">VLOOKUP(A53,INDIRECT('LOCCS Import'!$W$3&amp;"$A$3"):INDIRECT('LOCCS Import'!$W$3&amp;"$O$54"),8,)</f>
        <v>0.96</v>
      </c>
      <c r="AL53" s="42">
        <f ca="1">VLOOKUP(A53,INDIRECT('LOCCS Import'!$V$3&amp;"$A$3"):INDIRECT('LOCCS Import'!$V$3&amp;"$O$54"),8,)</f>
        <v>0.96</v>
      </c>
      <c r="AM53" s="42">
        <f ca="1">VLOOKUP(A53,INDIRECT('LOCCS Import'!$U$3&amp;"$A$3"):INDIRECT('LOCCS Import'!$U$3&amp;"$O$54"),8,)</f>
        <v>0.96</v>
      </c>
      <c r="AN53" s="42">
        <f ca="1">VLOOKUP(A53,INDIRECT('LOCCS Import'!$T$3&amp;"$A$3"):INDIRECT('LOCCS Import'!$T$3&amp;"$O$54"),8,)</f>
        <v>0.94</v>
      </c>
      <c r="AO53" s="42">
        <f ca="1">VLOOKUP(A53,INDIRECT('LOCCS Import'!$S$3&amp;"$A$3"):INDIRECT('LOCCS Import'!$S$3&amp;"$O$54"),8,)</f>
        <v>0.93</v>
      </c>
      <c r="AP53" s="42">
        <f ca="1">VLOOKUP(A53,INDIRECT('LOCCS Import'!$R$3&amp;"$A$3"):INDIRECT('LOCCS Import'!$R$3&amp;"$O$54"),8,)</f>
        <v>0.94</v>
      </c>
      <c r="AQ53" s="42">
        <f ca="1">VLOOKUP(A53,INDIRECT('LOCCS Import'!$Q$3&amp;"$A$3"):INDIRECT('LOCCS Import'!$Q$3&amp;"$O$54"),8,)</f>
        <v>0.95</v>
      </c>
      <c r="AR53" s="42">
        <f ca="1">VLOOKUP(A53,INDIRECT('LOCCS Import'!$P$3&amp;"$A$3"):INDIRECT('LOCCS Import'!$P$3&amp;"$O$54"),8,)</f>
        <v>0.97</v>
      </c>
      <c r="AS53" s="42">
        <f ca="1">VLOOKUP(A53,INDIRECT('LOCCS Import'!$O$3&amp;"$A$3"):INDIRECT('LOCCS Import'!$O$3&amp;"$O$54"),8,)</f>
        <v>0.98</v>
      </c>
      <c r="AT53" s="42">
        <f ca="1">VLOOKUP(A53,INDIRECT('LOCCS Import'!$N$3&amp;"$A$3"):INDIRECT('LOCCS Import'!$N$3&amp;"$O$54"),8,)</f>
        <v>0.99</v>
      </c>
      <c r="AU53" s="42">
        <f ca="1">VLOOKUP(A53,INDIRECT('LOCCS Import'!$M$3&amp;"$A$3"):INDIRECT('LOCCS Import'!$M$3&amp;"$O$54"),8,)</f>
        <v>0.98</v>
      </c>
      <c r="AV53" s="42">
        <f ca="1">VLOOKUP(A53,INDIRECT('LOCCS Import'!$L$3&amp;"$A$3"):INDIRECT('LOCCS Import'!$L$3&amp;"$O$54"),8,)</f>
        <v>0.94</v>
      </c>
      <c r="AW53" s="42">
        <f ca="1">VLOOKUP(A53,INDIRECT('LOCCS Import'!$K$3&amp;"$A$3"):INDIRECT('LOCCS Import'!$K$3&amp;"$O$54"),8,)</f>
        <v>0.94</v>
      </c>
      <c r="AX53" s="42">
        <f ca="1">VLOOKUP(A53,INDIRECT('LOCCS Import'!$J$3&amp;"$A$3"):INDIRECT('LOCCS Import'!$J$3&amp;"$O$54"),8,)</f>
        <v>0.96</v>
      </c>
      <c r="AY53" s="42">
        <f ca="1">VLOOKUP(A53,INDIRECT('LOCCS Import'!$I$3&amp;"$A$3"):INDIRECT('LOCCS Import'!$I$3&amp;"$O$54"),8,)</f>
        <v>0.96</v>
      </c>
      <c r="AZ53" s="42">
        <f ca="1">VLOOKUP(A53,INDIRECT('LOCCS Import'!$H$3&amp;"$A$3"):INDIRECT('LOCCS Import'!$H$3&amp;"$O$54"),8,)</f>
        <v>0.96</v>
      </c>
      <c r="BA53" s="42">
        <f ca="1">VLOOKUP(A53,INDIRECT('LOCCS Import'!$G$3&amp;"$A$3"):INDIRECT('LOCCS Import'!$G$3&amp;"$O$54"),8,)</f>
        <v>1</v>
      </c>
      <c r="BB53" s="42">
        <f ca="1">VLOOKUP(A53,INDIRECT('LOCCS Import'!$F$3&amp;"$A$3"):INDIRECT('LOCCS Import'!$F$3&amp;"$O$54"),8,)</f>
        <v>1</v>
      </c>
      <c r="BC53" s="42">
        <f ca="1">VLOOKUP(A53,INDIRECT('LOCCS Import'!$E$3&amp;"$A$3"):INDIRECT('LOCCS Import'!$E$3&amp;"$O$54"),8,)</f>
        <v>0.99</v>
      </c>
      <c r="BD53" s="43">
        <f>VLOOKUP(A53,template!$A$3:$P$54,8,)</f>
        <v>0.97</v>
      </c>
      <c r="BE53" s="110">
        <f t="shared" ca="1" si="10"/>
        <v>0.97250000000000014</v>
      </c>
      <c r="BF53" s="113"/>
    </row>
    <row r="54" spans="1:58" x14ac:dyDescent="0.3">
      <c r="A54" s="90" t="s">
        <v>171</v>
      </c>
      <c r="B54" s="49"/>
      <c r="C54" s="62" t="s">
        <v>137</v>
      </c>
      <c r="D54" s="63">
        <f ca="1">INDIRECT('LOCCS Import'!$AA$3&amp;"$D$53")/1000000000</f>
        <v>3.3420862042600024</v>
      </c>
      <c r="E54" s="63">
        <f ca="1">INDIRECT('LOCCS Import'!$Z$3&amp;"$D$53")/1000000000</f>
        <v>3.3815534093399964</v>
      </c>
      <c r="F54" s="63">
        <f ca="1">INDIRECT('LOCCS Import'!$Y$3&amp;"$D$53")/1000000000</f>
        <v>3.3741574572399977</v>
      </c>
      <c r="G54" s="63">
        <f ca="1">INDIRECT('LOCCS Import'!$X$3&amp;"$D$53")/1000000000</f>
        <v>3.3645987558799972</v>
      </c>
      <c r="H54" s="63">
        <f ca="1">INDIRECT('LOCCS Import'!$W$3&amp;"$D$53")/1000000000</f>
        <v>3.2962625077299958</v>
      </c>
      <c r="I54" s="63">
        <f ca="1">INDIRECT('LOCCS Import'!$V$3&amp;"$D$53")/1000000000</f>
        <v>3.2321113471699983</v>
      </c>
      <c r="J54" s="63">
        <f ca="1">INDIRECT('LOCCS Import'!$U$3&amp;"$D$53")/1000000000</f>
        <v>3.2321113471699983</v>
      </c>
      <c r="K54" s="63">
        <f ca="1">INDIRECT('LOCCS Import'!$T$3&amp;"$D$53")/1000000000</f>
        <v>3.1002064133799974</v>
      </c>
      <c r="L54" s="63">
        <f ca="1">INDIRECT('LOCCS Import'!$S$3&amp;"$D$53")/1000000000</f>
        <v>3.0236046714599989</v>
      </c>
      <c r="M54" s="63">
        <f ca="1">INDIRECT('LOCCS Import'!$R$3&amp;"$D$53")/1000000000</f>
        <v>2.9417699510599977</v>
      </c>
      <c r="N54" s="63">
        <f ca="1">INDIRECT('LOCCS Import'!$Q$3&amp;"$D$53")/1000000000</f>
        <v>2.8397359367600021</v>
      </c>
      <c r="O54" s="63">
        <f ca="1">INDIRECT('LOCCS Import'!$P$3&amp;"$D$53")/1000000000</f>
        <v>3.5019987663800047</v>
      </c>
      <c r="P54" s="63">
        <f ca="1">INDIRECT('LOCCS Import'!$O$3&amp;"$D$53")/1000000000</f>
        <v>3.4070424760100022</v>
      </c>
      <c r="Q54" s="63">
        <f ca="1">INDIRECT('LOCCS Import'!$N$3&amp;"$D$53")/1000000000</f>
        <v>3.3262852529200058</v>
      </c>
      <c r="R54" s="63">
        <f ca="1">INDIRECT('LOCCS Import'!$M$3&amp;"$D$53")/1000000000</f>
        <v>3.3412468479300004</v>
      </c>
      <c r="S54" s="63">
        <f ca="1">INDIRECT('LOCCS Import'!$L$3&amp;"$D$53")/1000000000</f>
        <v>3.3678735871399992</v>
      </c>
      <c r="T54" s="63">
        <f ca="1">INDIRECT('LOCCS Import'!$K$3&amp;"$D$53")/1000000000</f>
        <v>3.3117770370900041</v>
      </c>
      <c r="U54" s="63">
        <f ca="1">INDIRECT('LOCCS Import'!$J$3&amp;"$D$53")/1000000000</f>
        <v>3.2669811682799987</v>
      </c>
      <c r="V54" s="63">
        <f ca="1">INDIRECT('LOCCS Import'!$I$3&amp;"$D$53")/1000000000</f>
        <v>3.1975689375400007</v>
      </c>
      <c r="W54" s="63">
        <f ca="1">INDIRECT('LOCCS Import'!$H$3&amp;"$D$53")/1000000000</f>
        <v>3.1290644247600023</v>
      </c>
      <c r="X54" s="63">
        <f ca="1">INDIRECT('LOCCS Import'!$G$3&amp;"$D$53")/1000000000</f>
        <v>3.0199945821700056</v>
      </c>
      <c r="Y54" s="63">
        <f ca="1">INDIRECT('LOCCS Import'!$F$3&amp;"$D$53")/1000000000</f>
        <v>2.9352878620699996</v>
      </c>
      <c r="Z54" s="63">
        <f ca="1">INDIRECT('LOCCS Import'!$E$3&amp;"$D$53")/1000000000</f>
        <v>2.8497317438500063</v>
      </c>
      <c r="AA54" s="63">
        <f>template!D53/1000000000</f>
        <v>3.2130372190100021</v>
      </c>
      <c r="AB54" s="58"/>
      <c r="AC54" s="60"/>
      <c r="AD54" s="60"/>
      <c r="AE54" s="94"/>
      <c r="AF54" s="138"/>
      <c r="AG54" s="107"/>
      <c r="AH54" s="63"/>
      <c r="AI54" s="63"/>
      <c r="AJ54" s="63"/>
      <c r="AK54" s="63"/>
      <c r="AL54" s="63"/>
      <c r="AM54" s="63"/>
      <c r="AN54" s="63"/>
      <c r="AO54" s="63"/>
      <c r="AP54" s="63"/>
      <c r="AQ54" s="63"/>
      <c r="AR54" s="63"/>
      <c r="AS54" s="63"/>
      <c r="AT54" s="63"/>
      <c r="AU54" s="63"/>
      <c r="AV54" s="63"/>
      <c r="AW54" s="63"/>
      <c r="AX54" s="63"/>
      <c r="AY54" s="63"/>
      <c r="AZ54" s="63"/>
      <c r="BA54" s="63"/>
      <c r="BB54" s="63"/>
      <c r="BC54" s="63"/>
      <c r="BD54" s="108"/>
      <c r="BE54" s="111"/>
      <c r="BF54" s="111"/>
    </row>
    <row r="55" spans="1:58" x14ac:dyDescent="0.3">
      <c r="A55" s="86" t="s">
        <v>176</v>
      </c>
      <c r="B55" s="76"/>
      <c r="C55" s="87" t="s">
        <v>137</v>
      </c>
      <c r="D55" s="88"/>
      <c r="E55" s="88"/>
      <c r="F55" s="88"/>
      <c r="G55" s="88"/>
      <c r="H55" s="88"/>
      <c r="I55" s="88"/>
      <c r="J55" s="88"/>
      <c r="K55" s="88"/>
      <c r="L55" s="88"/>
      <c r="M55" s="88"/>
      <c r="N55" s="88"/>
      <c r="O55" s="88"/>
      <c r="P55" s="88"/>
      <c r="Q55" s="88"/>
      <c r="R55" s="88"/>
      <c r="S55" s="88"/>
      <c r="T55" s="88"/>
      <c r="U55" s="88"/>
      <c r="V55" s="88"/>
      <c r="W55" s="88"/>
      <c r="X55" s="88"/>
      <c r="Y55" s="88"/>
      <c r="Z55" s="88"/>
      <c r="AA55" s="88"/>
      <c r="AB55" s="92"/>
      <c r="AC55" s="88"/>
      <c r="AD55" s="88"/>
      <c r="AE55" s="95"/>
      <c r="AF55" s="138"/>
      <c r="AG55" s="68"/>
      <c r="AH55" s="76"/>
      <c r="AI55" s="76"/>
      <c r="AJ55" s="76"/>
      <c r="AK55" s="76"/>
      <c r="AL55" s="76"/>
      <c r="AM55" s="76"/>
      <c r="AN55" s="76"/>
      <c r="AO55" s="76"/>
      <c r="AP55" s="76"/>
      <c r="AQ55" s="76"/>
      <c r="AR55" s="76"/>
      <c r="AS55" s="76"/>
      <c r="AT55" s="76"/>
      <c r="AU55" s="76"/>
      <c r="AV55" s="76"/>
      <c r="AW55" s="76"/>
      <c r="AX55" s="76"/>
      <c r="AY55" s="76"/>
      <c r="AZ55" s="76"/>
      <c r="BA55" s="76"/>
      <c r="BB55" s="76"/>
      <c r="BC55" s="76"/>
      <c r="BD55" s="109"/>
      <c r="BE55" s="112"/>
      <c r="BF55" s="112"/>
    </row>
    <row r="56" spans="1:58" x14ac:dyDescent="0.3">
      <c r="A56" s="97"/>
    </row>
  </sheetData>
  <autoFilter ref="A2:BF2" xr:uid="{0AE1CA6D-3685-449D-B246-EFB22AD6D7CA}"/>
  <mergeCells count="3">
    <mergeCell ref="AB1:AD1"/>
    <mergeCell ref="D1:AA1"/>
    <mergeCell ref="AG1:BF1"/>
  </mergeCells>
  <phoneticPr fontId="0" type="noConversion"/>
  <conditionalFormatting sqref="D3:AD53">
    <cfRule type="cellIs" dxfId="25" priority="11" stopIfTrue="1" operator="between">
      <formula>2</formula>
      <formula>2.5</formula>
    </cfRule>
    <cfRule type="cellIs" dxfId="24" priority="12" stopIfTrue="1" operator="greaterThan">
      <formula>2.5</formula>
    </cfRule>
  </conditionalFormatting>
  <conditionalFormatting sqref="AG3:BD53">
    <cfRule type="cellIs" dxfId="23" priority="7" stopIfTrue="1" operator="between">
      <formula>2</formula>
      <formula>2.5</formula>
    </cfRule>
    <cfRule type="cellIs" dxfId="22" priority="8" stopIfTrue="1" operator="greaterThan">
      <formula>2.5</formula>
    </cfRule>
  </conditionalFormatting>
  <conditionalFormatting sqref="AG3:BD53">
    <cfRule type="cellIs" dxfId="21" priority="5" stopIfTrue="1" operator="between">
      <formula>0.001</formula>
      <formula>0.9999</formula>
    </cfRule>
    <cfRule type="cellIs" dxfId="20" priority="6" stopIfTrue="1" operator="greaterThanOrEqual">
      <formula>1</formula>
    </cfRule>
  </conditionalFormatting>
  <conditionalFormatting sqref="BE3:BE53">
    <cfRule type="cellIs" dxfId="19" priority="3" stopIfTrue="1" operator="between">
      <formula>2</formula>
      <formula>2.5</formula>
    </cfRule>
    <cfRule type="cellIs" dxfId="18" priority="4" stopIfTrue="1" operator="greaterThan">
      <formula>2.5</formula>
    </cfRule>
  </conditionalFormatting>
  <conditionalFormatting sqref="BE3:BE53">
    <cfRule type="cellIs" dxfId="17" priority="1" stopIfTrue="1" operator="between">
      <formula>0.001</formula>
      <formula>0.9999</formula>
    </cfRule>
    <cfRule type="cellIs" dxfId="16" priority="2" stopIfTrue="1" operator="greaterThanOrEqual">
      <formula>1</formula>
    </cfRule>
  </conditionalFormatting>
  <printOptions gridLines="1"/>
  <pageMargins left="0.75" right="0.75" top="1" bottom="1" header="0.5" footer="0.5"/>
  <pageSetup scale="32" orientation="portrait" r:id="rId1"/>
  <headerFooter alignWithMargins="0">
    <oddHeader>&amp;CLOCCS
State Allocation of Expenditure Report for CPD Block Grant Programs
Ratios</oddHeader>
  </headerFooter>
  <rowBreaks count="1" manualBreakCount="1">
    <brk id="86" max="16383" man="1"/>
  </rowBreaks>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460F8-BCBA-40A5-B4CF-7282380F331B}">
  <sheetPr>
    <tabColor theme="7" tint="0.39997558519241921"/>
  </sheetPr>
  <dimension ref="A1:C19"/>
  <sheetViews>
    <sheetView showGridLines="0" workbookViewId="0">
      <selection activeCell="Q12" sqref="Q12"/>
    </sheetView>
  </sheetViews>
  <sheetFormatPr defaultRowHeight="12.5" x14ac:dyDescent="0.25"/>
  <cols>
    <col min="1" max="1" width="8" style="239" customWidth="1"/>
    <col min="2" max="2" width="13.54296875" customWidth="1"/>
    <col min="3" max="3" width="36.1796875" customWidth="1"/>
  </cols>
  <sheetData>
    <row r="1" spans="1:3" ht="18.5" x14ac:dyDescent="0.45">
      <c r="A1" s="240" t="s">
        <v>196</v>
      </c>
      <c r="B1" s="229"/>
      <c r="C1" s="229"/>
    </row>
    <row r="2" spans="1:3" ht="14.5" x14ac:dyDescent="0.35">
      <c r="A2" s="236" t="s">
        <v>197</v>
      </c>
      <c r="B2" s="230" t="s">
        <v>198</v>
      </c>
      <c r="C2" s="230" t="s">
        <v>199</v>
      </c>
    </row>
    <row r="3" spans="1:3" ht="58.5" customHeight="1" x14ac:dyDescent="0.25">
      <c r="A3" s="237" t="s">
        <v>200</v>
      </c>
      <c r="B3" s="231" t="s">
        <v>0</v>
      </c>
      <c r="C3" s="232" t="s">
        <v>201</v>
      </c>
    </row>
    <row r="4" spans="1:3" ht="58.5" customHeight="1" x14ac:dyDescent="0.25">
      <c r="A4" s="238" t="s">
        <v>202</v>
      </c>
      <c r="B4" s="233" t="s">
        <v>203</v>
      </c>
      <c r="C4" s="234" t="s">
        <v>204</v>
      </c>
    </row>
    <row r="5" spans="1:3" ht="58.5" customHeight="1" x14ac:dyDescent="0.25">
      <c r="A5" s="238" t="s">
        <v>205</v>
      </c>
      <c r="B5" s="233" t="s">
        <v>206</v>
      </c>
      <c r="C5" s="234" t="s">
        <v>207</v>
      </c>
    </row>
    <row r="6" spans="1:3" ht="58.5" customHeight="1" x14ac:dyDescent="0.25">
      <c r="A6" s="238" t="s">
        <v>208</v>
      </c>
      <c r="B6" s="233" t="s">
        <v>3</v>
      </c>
      <c r="C6" s="235" t="s">
        <v>231</v>
      </c>
    </row>
    <row r="7" spans="1:3" ht="58.5" customHeight="1" x14ac:dyDescent="0.25">
      <c r="A7" s="238" t="s">
        <v>209</v>
      </c>
      <c r="B7" s="233" t="s">
        <v>4</v>
      </c>
      <c r="C7" s="234" t="s">
        <v>210</v>
      </c>
    </row>
    <row r="8" spans="1:3" ht="58.5" customHeight="1" x14ac:dyDescent="0.25">
      <c r="A8" s="238" t="s">
        <v>211</v>
      </c>
      <c r="B8" s="233" t="s">
        <v>5</v>
      </c>
      <c r="C8" s="234" t="s">
        <v>212</v>
      </c>
    </row>
    <row r="9" spans="1:3" ht="58.5" customHeight="1" x14ac:dyDescent="0.25">
      <c r="A9" s="238" t="s">
        <v>213</v>
      </c>
      <c r="B9" s="233" t="s">
        <v>6</v>
      </c>
      <c r="C9" s="235" t="s">
        <v>232</v>
      </c>
    </row>
    <row r="10" spans="1:3" ht="58.5" customHeight="1" x14ac:dyDescent="0.25">
      <c r="A10" s="238" t="s">
        <v>214</v>
      </c>
      <c r="B10" s="233" t="s">
        <v>7</v>
      </c>
      <c r="C10" s="235" t="s">
        <v>233</v>
      </c>
    </row>
    <row r="11" spans="1:3" ht="58.5" customHeight="1" x14ac:dyDescent="0.25">
      <c r="A11" s="238" t="s">
        <v>215</v>
      </c>
      <c r="B11" s="233" t="s">
        <v>8</v>
      </c>
      <c r="C11" s="235" t="s">
        <v>234</v>
      </c>
    </row>
    <row r="12" spans="1:3" ht="58.5" customHeight="1" x14ac:dyDescent="0.25">
      <c r="A12" s="238" t="s">
        <v>216</v>
      </c>
      <c r="B12" s="233" t="s">
        <v>9</v>
      </c>
      <c r="C12" s="234" t="s">
        <v>217</v>
      </c>
    </row>
    <row r="13" spans="1:3" ht="58.5" customHeight="1" x14ac:dyDescent="0.25">
      <c r="A13" s="238" t="s">
        <v>218</v>
      </c>
      <c r="B13" s="233" t="s">
        <v>10</v>
      </c>
      <c r="C13" s="235" t="s">
        <v>235</v>
      </c>
    </row>
    <row r="14" spans="1:3" ht="58.5" customHeight="1" x14ac:dyDescent="0.25">
      <c r="A14" s="238" t="s">
        <v>219</v>
      </c>
      <c r="B14" s="233" t="s">
        <v>11</v>
      </c>
      <c r="C14" s="234" t="s">
        <v>220</v>
      </c>
    </row>
    <row r="15" spans="1:3" ht="58.5" customHeight="1" x14ac:dyDescent="0.25">
      <c r="A15" s="238" t="s">
        <v>221</v>
      </c>
      <c r="B15" s="233" t="s">
        <v>12</v>
      </c>
      <c r="C15" s="234" t="s">
        <v>222</v>
      </c>
    </row>
    <row r="16" spans="1:3" ht="58.5" customHeight="1" x14ac:dyDescent="0.25">
      <c r="A16" s="238" t="s">
        <v>223</v>
      </c>
      <c r="B16" s="233" t="s">
        <v>224</v>
      </c>
      <c r="C16" s="234" t="s">
        <v>225</v>
      </c>
    </row>
    <row r="17" spans="1:3" ht="58.5" customHeight="1" x14ac:dyDescent="0.25">
      <c r="A17" s="238" t="s">
        <v>226</v>
      </c>
      <c r="B17" s="233" t="s">
        <v>13</v>
      </c>
      <c r="C17" s="234" t="s">
        <v>227</v>
      </c>
    </row>
    <row r="18" spans="1:3" ht="58.5" customHeight="1" x14ac:dyDescent="0.25">
      <c r="A18" s="238" t="s">
        <v>228</v>
      </c>
      <c r="B18" s="233" t="s">
        <v>229</v>
      </c>
      <c r="C18" s="235" t="s">
        <v>236</v>
      </c>
    </row>
    <row r="19" spans="1:3" ht="58.5" customHeight="1" x14ac:dyDescent="0.25">
      <c r="A19" s="238" t="s">
        <v>230</v>
      </c>
      <c r="B19" s="233" t="s">
        <v>241</v>
      </c>
      <c r="C19" s="235" t="s">
        <v>242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BCDBC-C549-485D-A4E8-D0D65ED0AF7C}">
  <sheetPr>
    <tabColor rgb="FF92D050"/>
    <pageSetUpPr fitToPage="1"/>
  </sheetPr>
  <dimension ref="A1:Q57"/>
  <sheetViews>
    <sheetView workbookViewId="0">
      <pane xSplit="1" ySplit="2" topLeftCell="B3" activePane="bottomRight" state="frozen"/>
      <selection activeCell="A19" sqref="A19:H81"/>
      <selection pane="topRight" activeCell="A19" sqref="A19:H81"/>
      <selection pane="bottomLeft" activeCell="A19" sqref="A19:H81"/>
      <selection pane="bottomRight" activeCell="U38" sqref="U38"/>
    </sheetView>
  </sheetViews>
  <sheetFormatPr defaultColWidth="9.1796875" defaultRowHeight="12.5" x14ac:dyDescent="0.25"/>
  <cols>
    <col min="1" max="1" width="13.453125" style="17" customWidth="1"/>
    <col min="2" max="2" width="11" style="23" bestFit="1" customWidth="1"/>
    <col min="3" max="3" width="10.1796875" style="23" bestFit="1" customWidth="1"/>
    <col min="4" max="6" width="9.7265625" style="23" customWidth="1"/>
    <col min="7" max="7" width="7.81640625" style="26" customWidth="1"/>
    <col min="8" max="8" width="9.26953125" style="26" customWidth="1"/>
    <col min="9" max="9" width="8.26953125" style="23" customWidth="1"/>
    <col min="10" max="10" width="6.453125" style="17" customWidth="1"/>
    <col min="11" max="11" width="9.26953125" style="23" customWidth="1"/>
    <col min="12" max="12" width="8.7265625" style="23" customWidth="1"/>
    <col min="13" max="13" width="8.54296875" style="23" customWidth="1"/>
    <col min="14" max="14" width="8.453125" style="23" customWidth="1"/>
    <col min="15" max="15" width="5.81640625" style="17" customWidth="1"/>
    <col min="16" max="16" width="9.1796875" style="23" customWidth="1"/>
    <col min="17" max="17" width="16.54296875" style="17" customWidth="1"/>
    <col min="18" max="16384" width="9.1796875" style="17"/>
  </cols>
  <sheetData>
    <row r="1" spans="1:17" s="8" customFormat="1" ht="18" x14ac:dyDescent="0.25">
      <c r="A1" s="4" t="str">
        <f>"Run Date: "&amp;'LOCCS Import'!C1&amp;"                                            As of: "&amp;'LOCCS Import'!C3</f>
        <v>Run Date: 09/30/2026                                            As of: 09/30/2026</v>
      </c>
      <c r="B1" s="196" t="str">
        <f>'LOCCS Import'!C3</f>
        <v>09/30/2026</v>
      </c>
      <c r="C1" s="5"/>
      <c r="D1" s="5"/>
      <c r="E1" s="5"/>
      <c r="F1" s="5"/>
      <c r="G1" s="6"/>
      <c r="H1" s="6"/>
      <c r="I1" s="5"/>
      <c r="J1" s="7"/>
      <c r="K1" s="5"/>
      <c r="L1" s="5"/>
      <c r="M1" s="5"/>
      <c r="N1" s="5"/>
      <c r="O1" s="7"/>
      <c r="P1" s="5"/>
      <c r="Q1" s="7"/>
    </row>
    <row r="2" spans="1:17" s="8" customFormat="1" ht="36.5" thickBot="1" x14ac:dyDescent="0.3">
      <c r="A2" s="9" t="s">
        <v>0</v>
      </c>
      <c r="B2" s="10" t="s">
        <v>1</v>
      </c>
      <c r="C2" s="10" t="s">
        <v>2</v>
      </c>
      <c r="D2" s="10" t="s">
        <v>3</v>
      </c>
      <c r="E2" s="10" t="s">
        <v>4</v>
      </c>
      <c r="F2" s="10" t="s">
        <v>5</v>
      </c>
      <c r="G2" s="11" t="s">
        <v>6</v>
      </c>
      <c r="H2" s="11" t="s">
        <v>7</v>
      </c>
      <c r="I2" s="10" t="s">
        <v>186</v>
      </c>
      <c r="J2" s="11" t="s">
        <v>185</v>
      </c>
      <c r="K2" s="10" t="s">
        <v>10</v>
      </c>
      <c r="L2" s="10" t="s">
        <v>187</v>
      </c>
      <c r="M2" s="10" t="s">
        <v>188</v>
      </c>
      <c r="N2" s="10" t="s">
        <v>194</v>
      </c>
      <c r="O2" s="11" t="s">
        <v>13</v>
      </c>
      <c r="P2" s="10" t="s">
        <v>14</v>
      </c>
      <c r="Q2" s="10" t="s">
        <v>241</v>
      </c>
    </row>
    <row r="3" spans="1:17" x14ac:dyDescent="0.2">
      <c r="A3" s="12" t="s">
        <v>15</v>
      </c>
      <c r="B3" s="13">
        <f>VLOOKUP(A3,'LOCCS Import'!A$19:N$200,2,)</f>
        <v>1108314599.5</v>
      </c>
      <c r="C3" s="13">
        <f>VLOOKUP(A3,'LOCCS Import'!A$19:N$200,3,)</f>
        <v>1059194517.3099999</v>
      </c>
      <c r="D3" s="13">
        <f t="shared" ref="D3:D34" si="0">B3-C3</f>
        <v>49120082.190000057</v>
      </c>
      <c r="E3" s="13">
        <f>VLOOKUP(A3,'LOCCS Import'!A$19:N$200,4,)</f>
        <v>19946943.219999999</v>
      </c>
      <c r="F3" s="13">
        <f>VLOOKUP(A3,'LOCCS Import'!A$19:N$200,5,)</f>
        <v>23039495</v>
      </c>
      <c r="G3" s="14">
        <f>VLOOKUP(A3,'LOCCS Import'!A$19:N$200,6,)</f>
        <v>2.13</v>
      </c>
      <c r="H3" s="14">
        <f>VLOOKUP(A3,'LOCCS Import'!A$19:N$200,7,)</f>
        <v>0.87</v>
      </c>
      <c r="I3" s="13">
        <f t="shared" ref="I3:I34" si="1">E3/12</f>
        <v>1662245.2683333333</v>
      </c>
      <c r="J3" s="15">
        <f t="shared" ref="J3:J34" si="2">IF(((MONTH(O3))&lt;=(MONTH($B$1))),((MONTH(O3)-3)+12-(MONTH($B$1))),IF(((MONTH(O3)-3)-(MONTH($B$1)))&gt;0,(MONTH(O3)-3)-(MONTH($B$1)),0))</f>
        <v>4</v>
      </c>
      <c r="K3" s="13">
        <f t="shared" ref="K3:K34" si="3">IF(J3&lt;0,"NA",D3-(J3*I3))</f>
        <v>42471101.116666727</v>
      </c>
      <c r="L3" s="13" t="str">
        <f t="shared" ref="L3:L34" si="4">IF(K3&lt;F3*2,"on track",IF(J3&lt;1,"NA",(D3-F3*2)/J3))</f>
        <v>on track</v>
      </c>
      <c r="M3" s="13" t="str">
        <f t="shared" ref="M3:M34" si="5">IF(K3&lt;F3*2.5,"on track",IF(J3&lt;1,"NA",(D3-F3*2.5)/J3))</f>
        <v>on track</v>
      </c>
      <c r="N3" s="197">
        <v>43556</v>
      </c>
      <c r="O3" s="16">
        <f t="shared" ref="O3:O34" si="6">DATE(IF(MONTH($B$1)&lt;MONTH(N3),YEAR($B$1)-1,YEAR($B$1)),MONTH(N3),1)</f>
        <v>46113</v>
      </c>
      <c r="P3" s="13">
        <f ca="1">ROUND(C3-(VLOOKUP(A3,INDIRECT('LOCCS Import'!$E$3&amp;"$A$3"):INDIRECT('LOCCS Import'!$E$3&amp;"$O$54"),3,)),2)</f>
        <v>318561.44</v>
      </c>
      <c r="Q3" s="243" t="e">
        <f>#VALUE!</f>
        <v>#VALUE!</v>
      </c>
    </row>
    <row r="4" spans="1:17" x14ac:dyDescent="0.2">
      <c r="A4" s="4" t="s">
        <v>16</v>
      </c>
      <c r="B4" s="13">
        <f>VLOOKUP(A4,'LOCCS Import'!A$19:N$200,2,)</f>
        <v>109550014.73</v>
      </c>
      <c r="C4" s="13">
        <f>VLOOKUP(A4,'LOCCS Import'!A$19:N$200,3,)</f>
        <v>97908311.180000007</v>
      </c>
      <c r="D4" s="13">
        <f t="shared" si="0"/>
        <v>11641703.549999997</v>
      </c>
      <c r="E4" s="13">
        <f>VLOOKUP(A4,'LOCCS Import'!A$19:N$200,4,)</f>
        <v>2278559.96</v>
      </c>
      <c r="F4" s="13">
        <f>VLOOKUP(A4,'LOCCS Import'!A$19:N$200,5,)</f>
        <v>2564020</v>
      </c>
      <c r="G4" s="14">
        <f>VLOOKUP(A4,'LOCCS Import'!A$19:N$200,6,)</f>
        <v>4.54</v>
      </c>
      <c r="H4" s="14">
        <f>VLOOKUP(A4,'LOCCS Import'!A$19:N$200,7,)</f>
        <v>0.89</v>
      </c>
      <c r="I4" s="13">
        <f t="shared" si="1"/>
        <v>189879.99666666667</v>
      </c>
      <c r="J4" s="15">
        <f t="shared" si="2"/>
        <v>7</v>
      </c>
      <c r="K4" s="13">
        <f t="shared" si="3"/>
        <v>10312543.57333333</v>
      </c>
      <c r="L4" s="13">
        <f t="shared" si="4"/>
        <v>930523.36428571388</v>
      </c>
      <c r="M4" s="13">
        <f t="shared" si="5"/>
        <v>747379.0785714282</v>
      </c>
      <c r="N4" s="197">
        <v>43647</v>
      </c>
      <c r="O4" s="16">
        <f t="shared" si="6"/>
        <v>46204</v>
      </c>
      <c r="P4" s="13">
        <f ca="1">ROUND(C4-(VLOOKUP(A4,INDIRECT('LOCCS Import'!$E$3&amp;"$A$3"):INDIRECT('LOCCS Import'!$E$3&amp;"$O$54"),3,)),2)</f>
        <v>222548.33</v>
      </c>
      <c r="Q4" s="242" t="e">
        <f>#VALUE!</f>
        <v>#VALUE!</v>
      </c>
    </row>
    <row r="5" spans="1:17" x14ac:dyDescent="0.2">
      <c r="A5" s="4" t="s">
        <v>17</v>
      </c>
      <c r="B5" s="13">
        <f>VLOOKUP(A5,'LOCCS Import'!A$19:N$200,2,)</f>
        <v>408655001</v>
      </c>
      <c r="C5" s="13">
        <f>VLOOKUP(A5,'LOCCS Import'!A$19:N$200,3,)</f>
        <v>385798250.51999998</v>
      </c>
      <c r="D5" s="13">
        <f t="shared" si="0"/>
        <v>22856750.480000019</v>
      </c>
      <c r="E5" s="13">
        <f>VLOOKUP(A5,'LOCCS Import'!A$19:N$200,4,)</f>
        <v>9633226.2899999991</v>
      </c>
      <c r="F5" s="13">
        <f>VLOOKUP(A5,'LOCCS Import'!A$19:N$200,5,)</f>
        <v>9830683</v>
      </c>
      <c r="G5" s="14">
        <f>VLOOKUP(A5,'LOCCS Import'!A$19:N$200,6,)</f>
        <v>2.33</v>
      </c>
      <c r="H5" s="14">
        <f>VLOOKUP(A5,'LOCCS Import'!A$19:N$200,7,)</f>
        <v>0.98</v>
      </c>
      <c r="I5" s="13">
        <f t="shared" si="1"/>
        <v>802768.85749999993</v>
      </c>
      <c r="J5" s="15">
        <f t="shared" si="2"/>
        <v>7</v>
      </c>
      <c r="K5" s="13">
        <f t="shared" si="3"/>
        <v>17237368.477500021</v>
      </c>
      <c r="L5" s="13" t="str">
        <f t="shared" si="4"/>
        <v>on track</v>
      </c>
      <c r="M5" s="13" t="str">
        <f t="shared" si="5"/>
        <v>on track</v>
      </c>
      <c r="N5" s="197">
        <v>43647</v>
      </c>
      <c r="O5" s="16">
        <f t="shared" si="6"/>
        <v>46204</v>
      </c>
      <c r="P5" s="13">
        <f ca="1">ROUND(C5-(VLOOKUP(A5,INDIRECT('LOCCS Import'!$E$3&amp;"$A$3"):INDIRECT('LOCCS Import'!$E$3&amp;"$O$54"),3,)),2)</f>
        <v>849733.25</v>
      </c>
      <c r="Q5" s="242" t="e">
        <f>#VALUE!</f>
        <v>#VALUE!</v>
      </c>
    </row>
    <row r="6" spans="1:17" x14ac:dyDescent="0.2">
      <c r="A6" s="4" t="s">
        <v>18</v>
      </c>
      <c r="B6" s="13">
        <f>VLOOKUP(A6,'LOCCS Import'!A$19:N$200,2,)</f>
        <v>816303820.10000002</v>
      </c>
      <c r="C6" s="13">
        <f>VLOOKUP(A6,'LOCCS Import'!A$19:N$200,3,)</f>
        <v>772705659.38</v>
      </c>
      <c r="D6" s="13">
        <f t="shared" si="0"/>
        <v>43598160.720000029</v>
      </c>
      <c r="E6" s="13">
        <f>VLOOKUP(A6,'LOCCS Import'!A$19:N$200,4,)</f>
        <v>25461927.48</v>
      </c>
      <c r="F6" s="13">
        <f>VLOOKUP(A6,'LOCCS Import'!A$19:N$200,5,)</f>
        <v>17644408</v>
      </c>
      <c r="G6" s="14">
        <f>VLOOKUP(A6,'LOCCS Import'!A$19:N$200,6,)</f>
        <v>2.4700000000000002</v>
      </c>
      <c r="H6" s="14">
        <f>VLOOKUP(A6,'LOCCS Import'!A$19:N$200,7,)</f>
        <v>1.44</v>
      </c>
      <c r="I6" s="13">
        <f t="shared" si="1"/>
        <v>2121827.29</v>
      </c>
      <c r="J6" s="15">
        <f t="shared" si="2"/>
        <v>7</v>
      </c>
      <c r="K6" s="13">
        <f t="shared" si="3"/>
        <v>28745369.690000027</v>
      </c>
      <c r="L6" s="13" t="str">
        <f t="shared" si="4"/>
        <v>on track</v>
      </c>
      <c r="M6" s="13" t="str">
        <f t="shared" si="5"/>
        <v>on track</v>
      </c>
      <c r="N6" s="197">
        <v>43647</v>
      </c>
      <c r="O6" s="16">
        <f t="shared" si="6"/>
        <v>46204</v>
      </c>
      <c r="P6" s="13">
        <f ca="1">ROUND(C6-(VLOOKUP(A6,INDIRECT('LOCCS Import'!$E$3&amp;"$A$3"):INDIRECT('LOCCS Import'!$E$3&amp;"$O$54"),3,)),2)</f>
        <v>1541399.36</v>
      </c>
      <c r="Q6" s="242" t="e">
        <f>#VALUE!</f>
        <v>#VALUE!</v>
      </c>
    </row>
    <row r="7" spans="1:17" x14ac:dyDescent="0.2">
      <c r="A7" s="4" t="s">
        <v>19</v>
      </c>
      <c r="B7" s="13">
        <f>VLOOKUP(A7,'LOCCS Import'!A$19:N$200,2,)</f>
        <v>1468177330.9100001</v>
      </c>
      <c r="C7" s="13">
        <f>VLOOKUP(A7,'LOCCS Import'!A$19:N$200,3,)</f>
        <v>1389971452.72</v>
      </c>
      <c r="D7" s="13">
        <f t="shared" si="0"/>
        <v>78205878.190000057</v>
      </c>
      <c r="E7" s="13">
        <f>VLOOKUP(A7,'LOCCS Import'!A$19:N$200,4,)</f>
        <v>52942310.960000001</v>
      </c>
      <c r="F7" s="13">
        <f>VLOOKUP(A7,'LOCCS Import'!A$19:N$200,5,)</f>
        <v>29748591</v>
      </c>
      <c r="G7" s="14">
        <f>VLOOKUP(A7,'LOCCS Import'!A$19:N$200,6,)</f>
        <v>2.63</v>
      </c>
      <c r="H7" s="14">
        <f>VLOOKUP(A7,'LOCCS Import'!A$19:N$200,7,)</f>
        <v>1.78</v>
      </c>
      <c r="I7" s="13">
        <f t="shared" si="1"/>
        <v>4411859.2466666671</v>
      </c>
      <c r="J7" s="15">
        <f t="shared" si="2"/>
        <v>7</v>
      </c>
      <c r="K7" s="13">
        <f t="shared" si="3"/>
        <v>47322863.463333383</v>
      </c>
      <c r="L7" s="13" t="str">
        <f t="shared" si="4"/>
        <v>on track</v>
      </c>
      <c r="M7" s="13" t="str">
        <f t="shared" si="5"/>
        <v>on track</v>
      </c>
      <c r="N7" s="197">
        <v>43647</v>
      </c>
      <c r="O7" s="16">
        <f t="shared" si="6"/>
        <v>46204</v>
      </c>
      <c r="P7" s="13">
        <f ca="1">ROUND(C7-(VLOOKUP(A7,INDIRECT('LOCCS Import'!$E$3&amp;"$A$3"):INDIRECT('LOCCS Import'!$E$3&amp;"$O$54"),3,)),2)</f>
        <v>2773367.04</v>
      </c>
      <c r="Q7" s="242" t="e">
        <f>#VALUE!</f>
        <v>#VALUE!</v>
      </c>
    </row>
    <row r="8" spans="1:17" x14ac:dyDescent="0.2">
      <c r="A8" s="4" t="s">
        <v>20</v>
      </c>
      <c r="B8" s="13">
        <f>VLOOKUP(A8,'LOCCS Import'!A$19:N$200,2,)</f>
        <v>402118853.93000001</v>
      </c>
      <c r="C8" s="13">
        <f>VLOOKUP(A8,'LOCCS Import'!A$19:N$200,3,)</f>
        <v>370909283.29000002</v>
      </c>
      <c r="D8" s="13">
        <f t="shared" si="0"/>
        <v>31209570.639999986</v>
      </c>
      <c r="E8" s="13">
        <f>VLOOKUP(A8,'LOCCS Import'!A$19:N$200,4,)</f>
        <v>5554801.5300000003</v>
      </c>
      <c r="F8" s="13">
        <f>VLOOKUP(A8,'LOCCS Import'!A$19:N$200,5,)</f>
        <v>9522686</v>
      </c>
      <c r="G8" s="14">
        <f>VLOOKUP(A8,'LOCCS Import'!A$19:N$200,6,)</f>
        <v>3.28</v>
      </c>
      <c r="H8" s="14">
        <f>VLOOKUP(A8,'LOCCS Import'!A$19:N$200,7,)</f>
        <v>0.57999999999999996</v>
      </c>
      <c r="I8" s="13">
        <f t="shared" si="1"/>
        <v>462900.1275</v>
      </c>
      <c r="J8" s="15">
        <f t="shared" si="2"/>
        <v>4</v>
      </c>
      <c r="K8" s="13">
        <f t="shared" si="3"/>
        <v>29357970.129999984</v>
      </c>
      <c r="L8" s="13">
        <f t="shared" si="4"/>
        <v>3041049.6599999964</v>
      </c>
      <c r="M8" s="13">
        <f t="shared" si="5"/>
        <v>1850713.9099999964</v>
      </c>
      <c r="N8" s="197">
        <v>43556</v>
      </c>
      <c r="O8" s="16">
        <f t="shared" si="6"/>
        <v>46113</v>
      </c>
      <c r="P8" s="13">
        <f ca="1">ROUND(C8-(VLOOKUP(A8,INDIRECT('LOCCS Import'!$E$3&amp;"$A$3"):INDIRECT('LOCCS Import'!$E$3&amp;"$O$54"),3,)),2)</f>
        <v>279132.48</v>
      </c>
      <c r="Q8" s="242" t="e">
        <f>#VALUE!</f>
        <v>#VALUE!</v>
      </c>
    </row>
    <row r="9" spans="1:17" x14ac:dyDescent="0.2">
      <c r="A9" s="4" t="s">
        <v>21</v>
      </c>
      <c r="B9" s="13">
        <f>VLOOKUP(A9,'LOCCS Import'!A$19:N$200,2,)</f>
        <v>556192005.02999997</v>
      </c>
      <c r="C9" s="13">
        <f>VLOOKUP(A9,'LOCCS Import'!A$19:N$200,3,)</f>
        <v>506480655.77999997</v>
      </c>
      <c r="D9" s="13">
        <f t="shared" si="0"/>
        <v>49711349.25</v>
      </c>
      <c r="E9" s="13">
        <f>VLOOKUP(A9,'LOCCS Import'!A$19:N$200,4,)</f>
        <v>11967382.810000001</v>
      </c>
      <c r="F9" s="13">
        <f>VLOOKUP(A9,'LOCCS Import'!A$19:N$200,5,)</f>
        <v>13902275</v>
      </c>
      <c r="G9" s="14">
        <f>VLOOKUP(A9,'LOCCS Import'!A$19:N$200,6,)</f>
        <v>3.58</v>
      </c>
      <c r="H9" s="14">
        <f>VLOOKUP(A9,'LOCCS Import'!A$19:N$200,7,)</f>
        <v>0.86</v>
      </c>
      <c r="I9" s="13">
        <f t="shared" si="1"/>
        <v>997281.90083333338</v>
      </c>
      <c r="J9" s="15">
        <f t="shared" si="2"/>
        <v>7</v>
      </c>
      <c r="K9" s="13">
        <f t="shared" si="3"/>
        <v>42730375.944166668</v>
      </c>
      <c r="L9" s="13">
        <f t="shared" si="4"/>
        <v>3129542.75</v>
      </c>
      <c r="M9" s="13">
        <f t="shared" si="5"/>
        <v>2136523.1071428573</v>
      </c>
      <c r="N9" s="197">
        <v>43647</v>
      </c>
      <c r="O9" s="16">
        <f t="shared" si="6"/>
        <v>46204</v>
      </c>
      <c r="P9" s="13">
        <f ca="1">ROUND(C9-(VLOOKUP(A9,INDIRECT('LOCCS Import'!$E$3&amp;"$A$3"):INDIRECT('LOCCS Import'!$E$3&amp;"$O$54"),3,)),2)</f>
        <v>1359543.01</v>
      </c>
      <c r="Q9" s="242" t="e">
        <f>#VALUE!</f>
        <v>#VALUE!</v>
      </c>
    </row>
    <row r="10" spans="1:17" x14ac:dyDescent="0.2">
      <c r="A10" s="4" t="s">
        <v>22</v>
      </c>
      <c r="B10" s="13">
        <f>VLOOKUP(A10,'LOCCS Import'!A$19:N$200,2,)</f>
        <v>81043860</v>
      </c>
      <c r="C10" s="13">
        <f>VLOOKUP(A10,'LOCCS Import'!A$19:N$200,3,)</f>
        <v>75255882.549999997</v>
      </c>
      <c r="D10" s="13">
        <f t="shared" si="0"/>
        <v>5787977.450000003</v>
      </c>
      <c r="E10" s="13">
        <f>VLOOKUP(A10,'LOCCS Import'!A$19:N$200,4,)</f>
        <v>1651360.93</v>
      </c>
      <c r="F10" s="13">
        <f>VLOOKUP(A10,'LOCCS Import'!A$19:N$200,5,)</f>
        <v>2796424</v>
      </c>
      <c r="G10" s="14">
        <f>VLOOKUP(A10,'LOCCS Import'!A$19:N$200,6,)</f>
        <v>2.0699999999999998</v>
      </c>
      <c r="H10" s="14">
        <f>VLOOKUP(A10,'LOCCS Import'!A$19:N$200,7,)</f>
        <v>0.59</v>
      </c>
      <c r="I10" s="13">
        <f t="shared" si="1"/>
        <v>137613.41083333333</v>
      </c>
      <c r="J10" s="15">
        <f t="shared" si="2"/>
        <v>7</v>
      </c>
      <c r="K10" s="13">
        <f t="shared" si="3"/>
        <v>4824683.5741666695</v>
      </c>
      <c r="L10" s="13" t="str">
        <f t="shared" si="4"/>
        <v>on track</v>
      </c>
      <c r="M10" s="13" t="str">
        <f t="shared" si="5"/>
        <v>on track</v>
      </c>
      <c r="N10" s="197">
        <v>43647</v>
      </c>
      <c r="O10" s="16">
        <f t="shared" si="6"/>
        <v>46204</v>
      </c>
      <c r="P10" s="13">
        <f ca="1">ROUND(C10-(VLOOKUP(A10,INDIRECT('LOCCS Import'!$E$3&amp;"$A$3"):INDIRECT('LOCCS Import'!$E$3&amp;"$O$54"),3,)),2)</f>
        <v>413274.38</v>
      </c>
      <c r="Q10" s="242" t="e">
        <f>#VALUE!</f>
        <v>#VALUE!</v>
      </c>
    </row>
    <row r="11" spans="1:17" x14ac:dyDescent="0.2">
      <c r="A11" s="4" t="s">
        <v>23</v>
      </c>
      <c r="B11" s="13">
        <f>VLOOKUP(A11,'LOCCS Import'!A$19:N$200,2,)</f>
        <v>1161972037.8499999</v>
      </c>
      <c r="C11" s="13">
        <f>VLOOKUP(A11,'LOCCS Import'!A$19:N$200,3,)</f>
        <v>1029107494.6799999</v>
      </c>
      <c r="D11" s="13">
        <f t="shared" si="0"/>
        <v>132864543.16999996</v>
      </c>
      <c r="E11" s="13">
        <f>VLOOKUP(A11,'LOCCS Import'!A$19:N$200,4,)</f>
        <v>23833937.629999999</v>
      </c>
      <c r="F11" s="13">
        <f>VLOOKUP(A11,'LOCCS Import'!A$19:N$200,5,)</f>
        <v>24581601</v>
      </c>
      <c r="G11" s="14">
        <f>VLOOKUP(A11,'LOCCS Import'!A$19:N$200,6,)</f>
        <v>5.41</v>
      </c>
      <c r="H11" s="14">
        <f>VLOOKUP(A11,'LOCCS Import'!A$19:N$200,7,)</f>
        <v>0.97</v>
      </c>
      <c r="I11" s="13">
        <f t="shared" si="1"/>
        <v>1986161.4691666665</v>
      </c>
      <c r="J11" s="15">
        <f t="shared" si="2"/>
        <v>7</v>
      </c>
      <c r="K11" s="13">
        <f t="shared" si="3"/>
        <v>118961412.88583329</v>
      </c>
      <c r="L11" s="13">
        <f t="shared" si="4"/>
        <v>11957334.452857137</v>
      </c>
      <c r="M11" s="13">
        <f t="shared" si="5"/>
        <v>10201505.809999993</v>
      </c>
      <c r="N11" s="197">
        <v>43647</v>
      </c>
      <c r="O11" s="16">
        <f t="shared" si="6"/>
        <v>46204</v>
      </c>
      <c r="P11" s="13">
        <f ca="1">ROUND(C11-(VLOOKUP(A11,INDIRECT('LOCCS Import'!$E$3&amp;"$A$3"):INDIRECT('LOCCS Import'!$E$3&amp;"$O$54"),3,)),2)</f>
        <v>5251976.8</v>
      </c>
      <c r="Q11" s="242" t="e">
        <f>#VALUE!</f>
        <v>#VALUE!</v>
      </c>
    </row>
    <row r="12" spans="1:17" x14ac:dyDescent="0.2">
      <c r="A12" s="4" t="s">
        <v>24</v>
      </c>
      <c r="B12" s="13">
        <f>VLOOKUP(A12,'LOCCS Import'!A$19:N$200,2,)</f>
        <v>1681086495.6500001</v>
      </c>
      <c r="C12" s="13">
        <f>VLOOKUP(A12,'LOCCS Import'!A$19:N$200,3,)</f>
        <v>1567794626.6099999</v>
      </c>
      <c r="D12" s="13">
        <f t="shared" si="0"/>
        <v>113291869.0400002</v>
      </c>
      <c r="E12" s="13">
        <f>VLOOKUP(A12,'LOCCS Import'!A$19:N$200,4,)</f>
        <v>24203654.780000001</v>
      </c>
      <c r="F12" s="13">
        <f>VLOOKUP(A12,'LOCCS Import'!A$19:N$200,5,)</f>
        <v>40945091</v>
      </c>
      <c r="G12" s="14">
        <f>VLOOKUP(A12,'LOCCS Import'!A$19:N$200,6,)</f>
        <v>2.77</v>
      </c>
      <c r="H12" s="14">
        <f>VLOOKUP(A12,'LOCCS Import'!A$19:N$200,7,)</f>
        <v>0.59</v>
      </c>
      <c r="I12" s="13">
        <f t="shared" si="1"/>
        <v>2016971.2316666667</v>
      </c>
      <c r="J12" s="15">
        <f t="shared" si="2"/>
        <v>7</v>
      </c>
      <c r="K12" s="13">
        <f t="shared" si="3"/>
        <v>99173070.41833353</v>
      </c>
      <c r="L12" s="13">
        <f t="shared" si="4"/>
        <v>4485955.2914286004</v>
      </c>
      <c r="M12" s="13" t="str">
        <f t="shared" si="5"/>
        <v>on track</v>
      </c>
      <c r="N12" s="197">
        <v>43647</v>
      </c>
      <c r="O12" s="16">
        <f t="shared" si="6"/>
        <v>46204</v>
      </c>
      <c r="P12" s="13">
        <f ca="1">ROUND(C12-(VLOOKUP(A12,INDIRECT('LOCCS Import'!$E$3&amp;"$A$3"):INDIRECT('LOCCS Import'!$E$3&amp;"$O$54"),3,)),2)</f>
        <v>1525894.79</v>
      </c>
      <c r="Q12" s="242" t="e">
        <f>#VALUE!</f>
        <v>#VALUE!</v>
      </c>
    </row>
    <row r="13" spans="1:17" x14ac:dyDescent="0.2">
      <c r="A13" s="4" t="s">
        <v>25</v>
      </c>
      <c r="B13" s="13">
        <f>VLOOKUP(A13,'LOCCS Import'!A$19:N$200,2,)</f>
        <v>360320461.25</v>
      </c>
      <c r="C13" s="13">
        <f>VLOOKUP(A13,'LOCCS Import'!A$19:N$200,3,)</f>
        <v>335284395.08999997</v>
      </c>
      <c r="D13" s="13">
        <f t="shared" si="0"/>
        <v>25036066.160000026</v>
      </c>
      <c r="E13" s="13">
        <f>VLOOKUP(A13,'LOCCS Import'!A$19:N$200,4,)</f>
        <v>9130150.6300000008</v>
      </c>
      <c r="F13" s="13">
        <f>VLOOKUP(A13,'LOCCS Import'!A$19:N$200,5,)</f>
        <v>8777275</v>
      </c>
      <c r="G13" s="14">
        <f>VLOOKUP(A13,'LOCCS Import'!A$19:N$200,6,)</f>
        <v>2.85</v>
      </c>
      <c r="H13" s="14">
        <f>VLOOKUP(A13,'LOCCS Import'!A$19:N$200,7,)</f>
        <v>1.04</v>
      </c>
      <c r="I13" s="13">
        <f t="shared" si="1"/>
        <v>760845.88583333336</v>
      </c>
      <c r="J13" s="15">
        <f t="shared" si="2"/>
        <v>4</v>
      </c>
      <c r="K13" s="13">
        <f t="shared" si="3"/>
        <v>21992682.616666693</v>
      </c>
      <c r="L13" s="13">
        <f t="shared" si="4"/>
        <v>1870379.0400000066</v>
      </c>
      <c r="M13" s="13">
        <f t="shared" si="5"/>
        <v>773219.66500000656</v>
      </c>
      <c r="N13" s="197">
        <v>43556</v>
      </c>
      <c r="O13" s="16">
        <f t="shared" si="6"/>
        <v>46113</v>
      </c>
      <c r="P13" s="13">
        <f ca="1">ROUND(C13-(VLOOKUP(A13,INDIRECT('LOCCS Import'!$E$3&amp;"$A$3"):INDIRECT('LOCCS Import'!$E$3&amp;"$O$54"),3,)),2)</f>
        <v>1925511.14</v>
      </c>
      <c r="Q13" s="242" t="e">
        <f>#VALUE!</f>
        <v>#VALUE!</v>
      </c>
    </row>
    <row r="14" spans="1:17" x14ac:dyDescent="0.2">
      <c r="A14" s="4" t="s">
        <v>26</v>
      </c>
      <c r="B14" s="13">
        <f>VLOOKUP(A14,'LOCCS Import'!A$19:N$200,2,)</f>
        <v>1365257298.0599999</v>
      </c>
      <c r="C14" s="13">
        <f>VLOOKUP(A14,'LOCCS Import'!A$19:N$200,3,)</f>
        <v>1267823807.2</v>
      </c>
      <c r="D14" s="13">
        <f t="shared" si="0"/>
        <v>97433490.859999895</v>
      </c>
      <c r="E14" s="13">
        <f>VLOOKUP(A14,'LOCCS Import'!A$19:N$200,4,)</f>
        <v>49463092.869999997</v>
      </c>
      <c r="F14" s="13">
        <f>VLOOKUP(A14,'LOCCS Import'!A$19:N$200,5,)</f>
        <v>28988172</v>
      </c>
      <c r="G14" s="14">
        <f>VLOOKUP(A14,'LOCCS Import'!A$19:N$200,6,)</f>
        <v>3.36</v>
      </c>
      <c r="H14" s="14">
        <f>VLOOKUP(A14,'LOCCS Import'!A$19:N$200,7,)</f>
        <v>1.71</v>
      </c>
      <c r="I14" s="13">
        <f t="shared" si="1"/>
        <v>4121924.4058333333</v>
      </c>
      <c r="J14" s="15">
        <f t="shared" si="2"/>
        <v>1</v>
      </c>
      <c r="K14" s="13">
        <f t="shared" si="3"/>
        <v>93311566.454166561</v>
      </c>
      <c r="L14" s="13">
        <f t="shared" si="4"/>
        <v>39457146.859999895</v>
      </c>
      <c r="M14" s="13">
        <f t="shared" si="5"/>
        <v>24963060.859999895</v>
      </c>
      <c r="N14" s="197">
        <v>43831</v>
      </c>
      <c r="O14" s="16">
        <f t="shared" si="6"/>
        <v>46023</v>
      </c>
      <c r="P14" s="13">
        <f ca="1">ROUND(C14-(VLOOKUP(A14,INDIRECT('LOCCS Import'!$E$3&amp;"$A$3"):INDIRECT('LOCCS Import'!$E$3&amp;"$O$54"),3,)),2)</f>
        <v>2468891.29</v>
      </c>
      <c r="Q14" s="242" t="e">
        <f>#VALUE!</f>
        <v>#VALUE!</v>
      </c>
    </row>
    <row r="15" spans="1:17" x14ac:dyDescent="0.2">
      <c r="A15" s="4" t="s">
        <v>27</v>
      </c>
      <c r="B15" s="13">
        <f>VLOOKUP(A15,'LOCCS Import'!A$19:N$200,2,)</f>
        <v>1371291427.5599999</v>
      </c>
      <c r="C15" s="13">
        <f>VLOOKUP(A15,'LOCCS Import'!A$19:N$200,3,)</f>
        <v>1276896636.26</v>
      </c>
      <c r="D15" s="13">
        <f t="shared" si="0"/>
        <v>94394791.299999952</v>
      </c>
      <c r="E15" s="13">
        <f>VLOOKUP(A15,'LOCCS Import'!A$19:N$200,4,)</f>
        <v>27622714.969999999</v>
      </c>
      <c r="F15" s="13">
        <f>VLOOKUP(A15,'LOCCS Import'!A$19:N$200,5,)</f>
        <v>30863204</v>
      </c>
      <c r="G15" s="14">
        <f>VLOOKUP(A15,'LOCCS Import'!A$19:N$200,6,)</f>
        <v>3.06</v>
      </c>
      <c r="H15" s="14">
        <f>VLOOKUP(A15,'LOCCS Import'!A$19:N$200,7,)</f>
        <v>0.9</v>
      </c>
      <c r="I15" s="13">
        <f t="shared" si="1"/>
        <v>2301892.9141666666</v>
      </c>
      <c r="J15" s="15">
        <f t="shared" si="2"/>
        <v>7</v>
      </c>
      <c r="K15" s="13">
        <f t="shared" si="3"/>
        <v>78281540.900833279</v>
      </c>
      <c r="L15" s="13">
        <f t="shared" si="4"/>
        <v>4666911.8999999929</v>
      </c>
      <c r="M15" s="13">
        <f t="shared" si="5"/>
        <v>2462397.3285714216</v>
      </c>
      <c r="N15" s="197">
        <v>43647</v>
      </c>
      <c r="O15" s="16">
        <f t="shared" si="6"/>
        <v>46204</v>
      </c>
      <c r="P15" s="13">
        <f ca="1">ROUND(C15-(VLOOKUP(A15,INDIRECT('LOCCS Import'!$E$3&amp;"$A$3"):INDIRECT('LOCCS Import'!$E$3&amp;"$O$54"),3,)),2)</f>
        <v>5365189.93</v>
      </c>
      <c r="Q15" s="242" t="e">
        <f>#VALUE!</f>
        <v>#VALUE!</v>
      </c>
    </row>
    <row r="16" spans="1:17" x14ac:dyDescent="0.2">
      <c r="A16" s="4" t="s">
        <v>28</v>
      </c>
      <c r="B16" s="13">
        <f>VLOOKUP(A16,'LOCCS Import'!A$19:N$200,2,)</f>
        <v>1108164533</v>
      </c>
      <c r="C16" s="13">
        <f>VLOOKUP(A16,'LOCCS Import'!A$19:N$200,3,)</f>
        <v>1014337608.25</v>
      </c>
      <c r="D16" s="13">
        <f t="shared" si="0"/>
        <v>93826924.75</v>
      </c>
      <c r="E16" s="13">
        <f>VLOOKUP(A16,'LOCCS Import'!A$19:N$200,4,)</f>
        <v>17580265.059999999</v>
      </c>
      <c r="F16" s="13">
        <f>VLOOKUP(A16,'LOCCS Import'!A$19:N$200,5,)</f>
        <v>24223580</v>
      </c>
      <c r="G16" s="14">
        <f>VLOOKUP(A16,'LOCCS Import'!A$19:N$200,6,)</f>
        <v>3.87</v>
      </c>
      <c r="H16" s="14">
        <f>VLOOKUP(A16,'LOCCS Import'!A$19:N$200,7,)</f>
        <v>0.73</v>
      </c>
      <c r="I16" s="13">
        <f t="shared" si="1"/>
        <v>1465022.0883333331</v>
      </c>
      <c r="J16" s="15">
        <f t="shared" si="2"/>
        <v>1</v>
      </c>
      <c r="K16" s="13">
        <f t="shared" si="3"/>
        <v>92361902.661666662</v>
      </c>
      <c r="L16" s="13">
        <f t="shared" si="4"/>
        <v>45379764.75</v>
      </c>
      <c r="M16" s="13">
        <f t="shared" si="5"/>
        <v>33267974.75</v>
      </c>
      <c r="N16" s="197">
        <v>43831</v>
      </c>
      <c r="O16" s="16">
        <f t="shared" si="6"/>
        <v>46023</v>
      </c>
      <c r="P16" s="13">
        <f ca="1">ROUND(C16-(VLOOKUP(A16,INDIRECT('LOCCS Import'!$E$3&amp;"$A$3"):INDIRECT('LOCCS Import'!$E$3&amp;"$O$54"),3,)),2)</f>
        <v>1739077</v>
      </c>
      <c r="Q16" s="242" t="e">
        <f>#VALUE!</f>
        <v>#VALUE!</v>
      </c>
    </row>
    <row r="17" spans="1:17" x14ac:dyDescent="0.2">
      <c r="A17" s="4" t="s">
        <v>29</v>
      </c>
      <c r="B17" s="13">
        <f>VLOOKUP(A17,'LOCCS Import'!A$19:N$200,2,)</f>
        <v>704892478</v>
      </c>
      <c r="C17" s="13">
        <f>VLOOKUP(A17,'LOCCS Import'!A$19:N$200,3,)</f>
        <v>648672705.85000002</v>
      </c>
      <c r="D17" s="13">
        <f t="shared" si="0"/>
        <v>56219772.149999976</v>
      </c>
      <c r="E17" s="13">
        <f>VLOOKUP(A17,'LOCCS Import'!A$19:N$200,4,)</f>
        <v>8167750.1900000004</v>
      </c>
      <c r="F17" s="13">
        <f>VLOOKUP(A17,'LOCCS Import'!A$19:N$200,5,)</f>
        <v>14946818</v>
      </c>
      <c r="G17" s="14">
        <f>VLOOKUP(A17,'LOCCS Import'!A$19:N$200,6,)</f>
        <v>3.76</v>
      </c>
      <c r="H17" s="14">
        <f>VLOOKUP(A17,'LOCCS Import'!A$19:N$200,7,)</f>
        <v>0.55000000000000004</v>
      </c>
      <c r="I17" s="13">
        <f t="shared" si="1"/>
        <v>680645.84916666674</v>
      </c>
      <c r="J17" s="15">
        <f t="shared" si="2"/>
        <v>1</v>
      </c>
      <c r="K17" s="13">
        <f t="shared" si="3"/>
        <v>55539126.300833307</v>
      </c>
      <c r="L17" s="13">
        <f t="shared" si="4"/>
        <v>26326136.149999976</v>
      </c>
      <c r="M17" s="13">
        <f t="shared" si="5"/>
        <v>18852727.149999976</v>
      </c>
      <c r="N17" s="197">
        <v>43466</v>
      </c>
      <c r="O17" s="16">
        <f t="shared" si="6"/>
        <v>46023</v>
      </c>
      <c r="P17" s="13">
        <f ca="1">ROUND(C17-(VLOOKUP(A17,INDIRECT('LOCCS Import'!$E$3&amp;"$A$3"):INDIRECT('LOCCS Import'!$E$3&amp;"$O$54"),3,)),2)</f>
        <v>2165920.08</v>
      </c>
      <c r="Q17" s="242" t="e">
        <f>#VALUE!</f>
        <v>#VALUE!</v>
      </c>
    </row>
    <row r="18" spans="1:17" x14ac:dyDescent="0.2">
      <c r="A18" s="4" t="s">
        <v>30</v>
      </c>
      <c r="B18" s="13">
        <f>VLOOKUP(A18,'LOCCS Import'!A$19:N$200,2,)</f>
        <v>1194714205.73</v>
      </c>
      <c r="C18" s="13">
        <f>VLOOKUP(A18,'LOCCS Import'!A$19:N$200,3,)</f>
        <v>1094915265</v>
      </c>
      <c r="D18" s="13">
        <f t="shared" si="0"/>
        <v>99798940.730000019</v>
      </c>
      <c r="E18" s="13">
        <f>VLOOKUP(A18,'LOCCS Import'!A$19:N$200,4,)</f>
        <v>19969720.890000001</v>
      </c>
      <c r="F18" s="13">
        <f>VLOOKUP(A18,'LOCCS Import'!A$19:N$200,5,)</f>
        <v>26571929</v>
      </c>
      <c r="G18" s="14">
        <f>VLOOKUP(A18,'LOCCS Import'!A$19:N$200,6,)</f>
        <v>3.76</v>
      </c>
      <c r="H18" s="14">
        <f>VLOOKUP(A18,'LOCCS Import'!A$19:N$200,7,)</f>
        <v>0.75</v>
      </c>
      <c r="I18" s="13">
        <f t="shared" si="1"/>
        <v>1664143.4075</v>
      </c>
      <c r="J18" s="15">
        <f t="shared" si="2"/>
        <v>7</v>
      </c>
      <c r="K18" s="13">
        <f t="shared" si="3"/>
        <v>88149936.877500027</v>
      </c>
      <c r="L18" s="13">
        <f t="shared" si="4"/>
        <v>6665011.8185714316</v>
      </c>
      <c r="M18" s="13">
        <f t="shared" si="5"/>
        <v>4767016.8900000025</v>
      </c>
      <c r="N18" s="197">
        <v>43647</v>
      </c>
      <c r="O18" s="16">
        <f t="shared" si="6"/>
        <v>46204</v>
      </c>
      <c r="P18" s="13">
        <f ca="1">ROUND(C18-(VLOOKUP(A18,INDIRECT('LOCCS Import'!$E$3&amp;"$A$3"):INDIRECT('LOCCS Import'!$E$3&amp;"$O$54"),3,)),2)</f>
        <v>1367660.6</v>
      </c>
      <c r="Q18" s="242" t="e">
        <f>#VALUE!</f>
        <v>#VALUE!</v>
      </c>
    </row>
    <row r="19" spans="1:17" x14ac:dyDescent="0.2">
      <c r="A19" s="4" t="s">
        <v>31</v>
      </c>
      <c r="B19" s="13">
        <f>VLOOKUP(A19,'LOCCS Import'!A$19:N$200,2,)</f>
        <v>1227877221</v>
      </c>
      <c r="C19" s="13">
        <f>VLOOKUP(A19,'LOCCS Import'!A$19:N$200,3,)</f>
        <v>1181757764.4100001</v>
      </c>
      <c r="D19" s="13">
        <f t="shared" si="0"/>
        <v>46119456.589999914</v>
      </c>
      <c r="E19" s="13">
        <f>VLOOKUP(A19,'LOCCS Import'!A$19:N$200,4,)</f>
        <v>20706400.870000001</v>
      </c>
      <c r="F19" s="13">
        <f>VLOOKUP(A19,'LOCCS Import'!A$19:N$200,5,)</f>
        <v>22761731</v>
      </c>
      <c r="G19" s="14">
        <f>VLOOKUP(A19,'LOCCS Import'!A$19:N$200,6,)</f>
        <v>2.0299999999999998</v>
      </c>
      <c r="H19" s="14">
        <f>VLOOKUP(A19,'LOCCS Import'!A$19:N$200,7,)</f>
        <v>0.91</v>
      </c>
      <c r="I19" s="13">
        <f t="shared" si="1"/>
        <v>1725533.4058333335</v>
      </c>
      <c r="J19" s="15">
        <f t="shared" si="2"/>
        <v>4</v>
      </c>
      <c r="K19" s="13">
        <f t="shared" si="3"/>
        <v>39217322.966666579</v>
      </c>
      <c r="L19" s="13" t="str">
        <f t="shared" si="4"/>
        <v>on track</v>
      </c>
      <c r="M19" s="13" t="str">
        <f t="shared" si="5"/>
        <v>on track</v>
      </c>
      <c r="N19" s="197">
        <v>43922</v>
      </c>
      <c r="O19" s="16">
        <f t="shared" si="6"/>
        <v>46113</v>
      </c>
      <c r="P19" s="13">
        <f ca="1">ROUND(C19-(VLOOKUP(A19,INDIRECT('LOCCS Import'!$E$3&amp;"$A$3"):INDIRECT('LOCCS Import'!$E$3&amp;"$O$54"),3,)),2)</f>
        <v>2100099.98</v>
      </c>
      <c r="Q19" s="242" t="e">
        <f>#VALUE!</f>
        <v>#VALUE!</v>
      </c>
    </row>
    <row r="20" spans="1:17" x14ac:dyDescent="0.2">
      <c r="A20" s="4" t="s">
        <v>32</v>
      </c>
      <c r="B20" s="13">
        <f>VLOOKUP(A20,'LOCCS Import'!A$19:N$200,2,)</f>
        <v>521018910</v>
      </c>
      <c r="C20" s="13">
        <f>VLOOKUP(A20,'LOCCS Import'!A$19:N$200,3,)</f>
        <v>490864589.75</v>
      </c>
      <c r="D20" s="13">
        <f t="shared" si="0"/>
        <v>30154320.25</v>
      </c>
      <c r="E20" s="13">
        <f>VLOOKUP(A20,'LOCCS Import'!A$19:N$200,4,)</f>
        <v>9183569.1600000001</v>
      </c>
      <c r="F20" s="13">
        <f>VLOOKUP(A20,'LOCCS Import'!A$19:N$200,5,)</f>
        <v>11904978</v>
      </c>
      <c r="G20" s="14">
        <f>VLOOKUP(A20,'LOCCS Import'!A$19:N$200,6,)</f>
        <v>2.5299999999999998</v>
      </c>
      <c r="H20" s="14">
        <f>VLOOKUP(A20,'LOCCS Import'!A$19:N$200,7,)</f>
        <v>0.77</v>
      </c>
      <c r="I20" s="13">
        <f t="shared" si="1"/>
        <v>765297.43</v>
      </c>
      <c r="J20" s="15">
        <f t="shared" si="2"/>
        <v>1</v>
      </c>
      <c r="K20" s="13">
        <f t="shared" si="3"/>
        <v>29389022.82</v>
      </c>
      <c r="L20" s="13">
        <f t="shared" si="4"/>
        <v>6344364.25</v>
      </c>
      <c r="M20" s="13" t="str">
        <f t="shared" si="5"/>
        <v>on track</v>
      </c>
      <c r="N20" s="197">
        <v>43831</v>
      </c>
      <c r="O20" s="16">
        <f t="shared" si="6"/>
        <v>46023</v>
      </c>
      <c r="P20" s="13">
        <f ca="1">ROUND(C20-(VLOOKUP(A20,INDIRECT('LOCCS Import'!$E$3&amp;"$A$3"):INDIRECT('LOCCS Import'!$E$3&amp;"$O$54"),3,)),2)</f>
        <v>623492.27</v>
      </c>
      <c r="Q20" s="242" t="e">
        <f>#VALUE!</f>
        <v>#VALUE!</v>
      </c>
    </row>
    <row r="21" spans="1:17" x14ac:dyDescent="0.2">
      <c r="A21" s="4" t="s">
        <v>33</v>
      </c>
      <c r="B21" s="13">
        <f>VLOOKUP(A21,'LOCCS Import'!A$19:N$200,2,)</f>
        <v>329225451.43000001</v>
      </c>
      <c r="C21" s="13">
        <f>VLOOKUP(A21,'LOCCS Import'!A$19:N$200,3,)</f>
        <v>303692837.32999998</v>
      </c>
      <c r="D21" s="13">
        <f t="shared" si="0"/>
        <v>25532614.100000024</v>
      </c>
      <c r="E21" s="13">
        <f>VLOOKUP(A21,'LOCCS Import'!A$19:N$200,4,)</f>
        <v>9599941.0700000003</v>
      </c>
      <c r="F21" s="13">
        <f>VLOOKUP(A21,'LOCCS Import'!A$19:N$200,5,)</f>
        <v>7367342</v>
      </c>
      <c r="G21" s="14">
        <f>VLOOKUP(A21,'LOCCS Import'!A$19:N$200,6,)</f>
        <v>3.47</v>
      </c>
      <c r="H21" s="14">
        <f>VLOOKUP(A21,'LOCCS Import'!A$19:N$200,7,)</f>
        <v>1.3</v>
      </c>
      <c r="I21" s="13">
        <f t="shared" si="1"/>
        <v>799995.08916666673</v>
      </c>
      <c r="J21" s="15">
        <f t="shared" si="2"/>
        <v>7</v>
      </c>
      <c r="K21" s="13">
        <f t="shared" si="3"/>
        <v>19932648.475833356</v>
      </c>
      <c r="L21" s="13">
        <f t="shared" si="4"/>
        <v>1542561.4428571463</v>
      </c>
      <c r="M21" s="13">
        <f t="shared" si="5"/>
        <v>1016322.7285714319</v>
      </c>
      <c r="N21" s="197">
        <v>43647</v>
      </c>
      <c r="O21" s="16">
        <f t="shared" si="6"/>
        <v>46204</v>
      </c>
      <c r="P21" s="13">
        <f ca="1">ROUND(C21-(VLOOKUP(A21,INDIRECT('LOCCS Import'!$E$3&amp;"$A$3"):INDIRECT('LOCCS Import'!$E$3&amp;"$O$54"),3,)),2)</f>
        <v>1757216.42</v>
      </c>
      <c r="Q21" s="242" t="e">
        <f>#VALUE!</f>
        <v>#VALUE!</v>
      </c>
    </row>
    <row r="22" spans="1:17" x14ac:dyDescent="0.2">
      <c r="A22" s="4" t="s">
        <v>34</v>
      </c>
      <c r="B22" s="13">
        <f>VLOOKUP(A22,'LOCCS Import'!A$19:N$200,2,)</f>
        <v>1463439983.99</v>
      </c>
      <c r="C22" s="13">
        <f>VLOOKUP(A22,'LOCCS Import'!A$19:N$200,3,)</f>
        <v>1378522346.95</v>
      </c>
      <c r="D22" s="13">
        <f t="shared" si="0"/>
        <v>84917637.039999962</v>
      </c>
      <c r="E22" s="13">
        <f>VLOOKUP(A22,'LOCCS Import'!A$19:N$200,4,)</f>
        <v>43451053.030000001</v>
      </c>
      <c r="F22" s="13">
        <f>VLOOKUP(A22,'LOCCS Import'!A$19:N$200,5,)</f>
        <v>34632226</v>
      </c>
      <c r="G22" s="14">
        <f>VLOOKUP(A22,'LOCCS Import'!A$19:N$200,6,)</f>
        <v>2.4500000000000002</v>
      </c>
      <c r="H22" s="14">
        <f>VLOOKUP(A22,'LOCCS Import'!A$19:N$200,7,)</f>
        <v>1.25</v>
      </c>
      <c r="I22" s="13">
        <f t="shared" si="1"/>
        <v>3620921.0858333334</v>
      </c>
      <c r="J22" s="15">
        <f t="shared" si="2"/>
        <v>4</v>
      </c>
      <c r="K22" s="13">
        <f t="shared" si="3"/>
        <v>70433952.696666628</v>
      </c>
      <c r="L22" s="13">
        <f t="shared" si="4"/>
        <v>3913296.2599999905</v>
      </c>
      <c r="M22" s="13" t="str">
        <f t="shared" si="5"/>
        <v>on track</v>
      </c>
      <c r="N22" s="197">
        <v>43922</v>
      </c>
      <c r="O22" s="16">
        <f t="shared" si="6"/>
        <v>46113</v>
      </c>
      <c r="P22" s="13">
        <f ca="1">ROUND(C22-(VLOOKUP(A22,INDIRECT('LOCCS Import'!$E$3&amp;"$A$3"):INDIRECT('LOCCS Import'!$E$3&amp;"$O$54"),3,)),2)</f>
        <v>3921804.59</v>
      </c>
      <c r="Q22" s="242" t="e">
        <f>#VALUE!</f>
        <v>#VALUE!</v>
      </c>
    </row>
    <row r="23" spans="1:17" x14ac:dyDescent="0.2">
      <c r="A23" s="4" t="s">
        <v>35</v>
      </c>
      <c r="B23" s="13">
        <f>VLOOKUP(A23,'LOCCS Import'!A$19:N$200,2,)</f>
        <v>1537281221.97</v>
      </c>
      <c r="C23" s="13">
        <f>VLOOKUP(A23,'LOCCS Import'!A$19:N$200,3,)</f>
        <v>1351620188.8599999</v>
      </c>
      <c r="D23" s="13">
        <f t="shared" si="0"/>
        <v>185661033.11000013</v>
      </c>
      <c r="E23" s="13">
        <f>VLOOKUP(A23,'LOCCS Import'!A$19:N$200,4,)</f>
        <v>42886925.420000002</v>
      </c>
      <c r="F23" s="13">
        <f>VLOOKUP(A23,'LOCCS Import'!A$19:N$200,5,)</f>
        <v>33947877</v>
      </c>
      <c r="G23" s="14">
        <f>VLOOKUP(A23,'LOCCS Import'!A$19:N$200,6,)</f>
        <v>5.47</v>
      </c>
      <c r="H23" s="14">
        <f>VLOOKUP(A23,'LOCCS Import'!A$19:N$200,7,)</f>
        <v>1.26</v>
      </c>
      <c r="I23" s="13">
        <f t="shared" si="1"/>
        <v>3573910.4516666667</v>
      </c>
      <c r="J23" s="15">
        <f t="shared" si="2"/>
        <v>7</v>
      </c>
      <c r="K23" s="13">
        <f t="shared" si="3"/>
        <v>160643659.94833347</v>
      </c>
      <c r="L23" s="13">
        <f t="shared" si="4"/>
        <v>16823611.30142859</v>
      </c>
      <c r="M23" s="13">
        <f t="shared" si="5"/>
        <v>14398762.944285734</v>
      </c>
      <c r="N23" s="197">
        <v>43647</v>
      </c>
      <c r="O23" s="16">
        <f t="shared" si="6"/>
        <v>46204</v>
      </c>
      <c r="P23" s="13">
        <f ca="1">ROUND(C23-(VLOOKUP(A23,INDIRECT('LOCCS Import'!$E$3&amp;"$A$3"):INDIRECT('LOCCS Import'!$E$3&amp;"$O$54"),3,)),2)</f>
        <v>2281245.5299999998</v>
      </c>
      <c r="Q23" s="242" t="e">
        <f>#VALUE!</f>
        <v>#VALUE!</v>
      </c>
    </row>
    <row r="24" spans="1:17" x14ac:dyDescent="0.2">
      <c r="A24" s="4" t="s">
        <v>36</v>
      </c>
      <c r="B24" s="13">
        <f>VLOOKUP(A24,'LOCCS Import'!A$19:N$200,2,)</f>
        <v>872347192</v>
      </c>
      <c r="C24" s="13">
        <f>VLOOKUP(A24,'LOCCS Import'!A$19:N$200,3,)</f>
        <v>799355256.88</v>
      </c>
      <c r="D24" s="13">
        <f t="shared" si="0"/>
        <v>72991935.120000005</v>
      </c>
      <c r="E24" s="13">
        <f>VLOOKUP(A24,'LOCCS Import'!A$19:N$200,4,)</f>
        <v>16168680.5</v>
      </c>
      <c r="F24" s="13">
        <f>VLOOKUP(A24,'LOCCS Import'!A$19:N$200,5,)</f>
        <v>19090913</v>
      </c>
      <c r="G24" s="14">
        <f>VLOOKUP(A24,'LOCCS Import'!A$19:N$200,6,)</f>
        <v>3.82</v>
      </c>
      <c r="H24" s="14">
        <f>VLOOKUP(A24,'LOCCS Import'!A$19:N$200,7,)</f>
        <v>0.85</v>
      </c>
      <c r="I24" s="13">
        <f t="shared" si="1"/>
        <v>1347390.0416666667</v>
      </c>
      <c r="J24" s="15">
        <f t="shared" si="2"/>
        <v>0</v>
      </c>
      <c r="K24" s="13">
        <f t="shared" si="3"/>
        <v>72991935.120000005</v>
      </c>
      <c r="L24" s="13" t="str">
        <f t="shared" si="4"/>
        <v>NA</v>
      </c>
      <c r="M24" s="13" t="str">
        <f t="shared" si="5"/>
        <v>NA</v>
      </c>
      <c r="N24" s="197">
        <v>43739</v>
      </c>
      <c r="O24" s="16">
        <f t="shared" si="6"/>
        <v>45931</v>
      </c>
      <c r="P24" s="13">
        <f ca="1">ROUND(C24-(VLOOKUP(A24,INDIRECT('LOCCS Import'!$E$3&amp;"$A$3"):INDIRECT('LOCCS Import'!$E$3&amp;"$O$54"),3,)),2)</f>
        <v>501402.64</v>
      </c>
      <c r="Q24" s="242" t="e">
        <f>#VALUE!</f>
        <v>#VALUE!</v>
      </c>
    </row>
    <row r="25" spans="1:17" x14ac:dyDescent="0.2">
      <c r="A25" s="4" t="s">
        <v>37</v>
      </c>
      <c r="B25" s="13">
        <f>VLOOKUP(A25,'LOCCS Import'!A$19:N$200,2,)</f>
        <v>1263141065.8299999</v>
      </c>
      <c r="C25" s="13">
        <f>VLOOKUP(A25,'LOCCS Import'!A$19:N$200,3,)</f>
        <v>1201585816.24</v>
      </c>
      <c r="D25" s="13">
        <f t="shared" si="0"/>
        <v>61555249.589999914</v>
      </c>
      <c r="E25" s="13">
        <f>VLOOKUP(A25,'LOCCS Import'!A$19:N$200,4,)</f>
        <v>23714189.77</v>
      </c>
      <c r="F25" s="13">
        <f>VLOOKUP(A25,'LOCCS Import'!A$19:N$200,5,)</f>
        <v>23759923</v>
      </c>
      <c r="G25" s="14">
        <f>VLOOKUP(A25,'LOCCS Import'!A$19:N$200,6,)</f>
        <v>2.59</v>
      </c>
      <c r="H25" s="14">
        <f>VLOOKUP(A25,'LOCCS Import'!A$19:N$200,7,)</f>
        <v>1</v>
      </c>
      <c r="I25" s="13">
        <f t="shared" si="1"/>
        <v>1976182.4808333332</v>
      </c>
      <c r="J25" s="15">
        <f t="shared" si="2"/>
        <v>7</v>
      </c>
      <c r="K25" s="13">
        <f t="shared" si="3"/>
        <v>47721972.22416658</v>
      </c>
      <c r="L25" s="13">
        <f t="shared" si="4"/>
        <v>2005057.6557142735</v>
      </c>
      <c r="M25" s="13" t="str">
        <f t="shared" si="5"/>
        <v>on track</v>
      </c>
      <c r="N25" s="197">
        <v>43647</v>
      </c>
      <c r="O25" s="16">
        <f t="shared" si="6"/>
        <v>46204</v>
      </c>
      <c r="P25" s="13">
        <f ca="1">ROUND(C25-(VLOOKUP(A25,INDIRECT('LOCCS Import'!$E$3&amp;"$A$3"):INDIRECT('LOCCS Import'!$E$3&amp;"$O$54"),3,)),2)</f>
        <v>2825184.13</v>
      </c>
      <c r="Q25" s="242" t="e">
        <f>#VALUE!</f>
        <v>#VALUE!</v>
      </c>
    </row>
    <row r="26" spans="1:17" x14ac:dyDescent="0.2">
      <c r="A26" s="4" t="s">
        <v>38</v>
      </c>
      <c r="B26" s="13">
        <f>VLOOKUP(A26,'LOCCS Import'!A$19:N$200,2,)</f>
        <v>1055669610</v>
      </c>
      <c r="C26" s="13">
        <f>VLOOKUP(A26,'LOCCS Import'!A$19:N$200,3,)</f>
        <v>967317851.00999999</v>
      </c>
      <c r="D26" s="13">
        <f t="shared" si="0"/>
        <v>88351758.99000001</v>
      </c>
      <c r="E26" s="13">
        <f>VLOOKUP(A26,'LOCCS Import'!A$19:N$200,4,)</f>
        <v>24929615.609999999</v>
      </c>
      <c r="F26" s="13">
        <f>VLOOKUP(A26,'LOCCS Import'!A$19:N$200,5,)</f>
        <v>22482478</v>
      </c>
      <c r="G26" s="14">
        <f>VLOOKUP(A26,'LOCCS Import'!A$19:N$200,6,)</f>
        <v>3.93</v>
      </c>
      <c r="H26" s="14">
        <f>VLOOKUP(A26,'LOCCS Import'!A$19:N$200,7,)</f>
        <v>1.1100000000000001</v>
      </c>
      <c r="I26" s="13">
        <f t="shared" si="1"/>
        <v>2077467.9675</v>
      </c>
      <c r="J26" s="15">
        <f t="shared" si="2"/>
        <v>4</v>
      </c>
      <c r="K26" s="13">
        <f t="shared" si="3"/>
        <v>80041887.120000005</v>
      </c>
      <c r="L26" s="13">
        <f t="shared" si="4"/>
        <v>10846700.747500002</v>
      </c>
      <c r="M26" s="13">
        <f t="shared" si="5"/>
        <v>8036390.9975000024</v>
      </c>
      <c r="N26" s="197">
        <v>43922</v>
      </c>
      <c r="O26" s="16">
        <f t="shared" si="6"/>
        <v>46113</v>
      </c>
      <c r="P26" s="13">
        <f ca="1">ROUND(C26-(VLOOKUP(A26,INDIRECT('LOCCS Import'!$E$3&amp;"$A$3"):INDIRECT('LOCCS Import'!$E$3&amp;"$O$54"),3,)),2)</f>
        <v>1917712.78</v>
      </c>
      <c r="Q26" s="242" t="e">
        <f>#VALUE!</f>
        <v>#VALUE!</v>
      </c>
    </row>
    <row r="27" spans="1:17" x14ac:dyDescent="0.2">
      <c r="A27" s="4" t="s">
        <v>39</v>
      </c>
      <c r="B27" s="13">
        <f>VLOOKUP(A27,'LOCCS Import'!A$19:N$200,2,)</f>
        <v>277492827</v>
      </c>
      <c r="C27" s="13">
        <f>VLOOKUP(A27,'LOCCS Import'!A$19:N$200,3,)</f>
        <v>251098469.06999999</v>
      </c>
      <c r="D27" s="13">
        <f t="shared" si="0"/>
        <v>26394357.930000007</v>
      </c>
      <c r="E27" s="13">
        <f>VLOOKUP(A27,'LOCCS Import'!A$19:N$200,4,)</f>
        <v>7340976.8200000003</v>
      </c>
      <c r="F27" s="13">
        <f>VLOOKUP(A27,'LOCCS Import'!A$19:N$200,5,)</f>
        <v>6175487</v>
      </c>
      <c r="G27" s="14">
        <f>VLOOKUP(A27,'LOCCS Import'!A$19:N$200,6,)</f>
        <v>4.2699999999999996</v>
      </c>
      <c r="H27" s="14">
        <f>VLOOKUP(A27,'LOCCS Import'!A$19:N$200,7,)</f>
        <v>1.19</v>
      </c>
      <c r="I27" s="13">
        <f t="shared" si="1"/>
        <v>611748.06833333336</v>
      </c>
      <c r="J27" s="15">
        <f t="shared" si="2"/>
        <v>4</v>
      </c>
      <c r="K27" s="13">
        <f t="shared" si="3"/>
        <v>23947365.656666674</v>
      </c>
      <c r="L27" s="13">
        <f t="shared" si="4"/>
        <v>3510845.9825000018</v>
      </c>
      <c r="M27" s="13">
        <f t="shared" si="5"/>
        <v>2738910.1075000018</v>
      </c>
      <c r="N27" s="197">
        <v>43922</v>
      </c>
      <c r="O27" s="16">
        <f t="shared" si="6"/>
        <v>46113</v>
      </c>
      <c r="P27" s="13">
        <f ca="1">ROUND(C27-(VLOOKUP(A27,INDIRECT('LOCCS Import'!$E$3&amp;"$A$3"):INDIRECT('LOCCS Import'!$E$3&amp;"$O$54"),3,)),2)</f>
        <v>699979.93</v>
      </c>
      <c r="Q27" s="242" t="e">
        <f>#VALUE!</f>
        <v>#VALUE!</v>
      </c>
    </row>
    <row r="28" spans="1:17" x14ac:dyDescent="0.2">
      <c r="A28" s="4" t="s">
        <v>40</v>
      </c>
      <c r="B28" s="13">
        <f>VLOOKUP(A28,'LOCCS Import'!A$19:N$200,2,)</f>
        <v>521738422.91000003</v>
      </c>
      <c r="C28" s="13">
        <f>VLOOKUP(A28,'LOCCS Import'!A$19:N$200,3,)</f>
        <v>472519228.93000001</v>
      </c>
      <c r="D28" s="13">
        <f t="shared" si="0"/>
        <v>49219193.980000019</v>
      </c>
      <c r="E28" s="13">
        <f>VLOOKUP(A28,'LOCCS Import'!A$19:N$200,4,)</f>
        <v>8353978</v>
      </c>
      <c r="F28" s="13">
        <f>VLOOKUP(A28,'LOCCS Import'!A$19:N$200,5,)</f>
        <v>10575107</v>
      </c>
      <c r="G28" s="14">
        <f>VLOOKUP(A28,'LOCCS Import'!A$19:N$200,6,)</f>
        <v>4.6500000000000004</v>
      </c>
      <c r="H28" s="14">
        <f>VLOOKUP(A28,'LOCCS Import'!A$19:N$200,7,)</f>
        <v>0.79</v>
      </c>
      <c r="I28" s="13">
        <f t="shared" si="1"/>
        <v>696164.83333333337</v>
      </c>
      <c r="J28" s="15">
        <f t="shared" si="2"/>
        <v>7</v>
      </c>
      <c r="K28" s="13">
        <f t="shared" si="3"/>
        <v>44346040.146666683</v>
      </c>
      <c r="L28" s="13">
        <f t="shared" si="4"/>
        <v>4009854.2828571456</v>
      </c>
      <c r="M28" s="13">
        <f t="shared" si="5"/>
        <v>3254489.4971428597</v>
      </c>
      <c r="N28" s="197">
        <v>43647</v>
      </c>
      <c r="O28" s="16">
        <f t="shared" si="6"/>
        <v>46204</v>
      </c>
      <c r="P28" s="13">
        <f ca="1">ROUND(C28-(VLOOKUP(A28,INDIRECT('LOCCS Import'!$E$3&amp;"$A$3"):INDIRECT('LOCCS Import'!$E$3&amp;"$O$54"),3,)),2)</f>
        <v>1445277.37</v>
      </c>
      <c r="Q28" s="242" t="e">
        <f>#VALUE!</f>
        <v>#VALUE!</v>
      </c>
    </row>
    <row r="29" spans="1:17" x14ac:dyDescent="0.2">
      <c r="A29" s="4" t="s">
        <v>41</v>
      </c>
      <c r="B29" s="13">
        <f>VLOOKUP(A29,'LOCCS Import'!A$19:N$200,2,)</f>
        <v>104531217</v>
      </c>
      <c r="C29" s="13">
        <f>VLOOKUP(A29,'LOCCS Import'!A$19:N$200,3,)</f>
        <v>98125664.189999998</v>
      </c>
      <c r="D29" s="13">
        <f t="shared" si="0"/>
        <v>6405552.8100000024</v>
      </c>
      <c r="E29" s="13">
        <f>VLOOKUP(A29,'LOCCS Import'!A$19:N$200,4,)</f>
        <v>4952820.08</v>
      </c>
      <c r="F29" s="13">
        <f>VLOOKUP(A29,'LOCCS Import'!A$19:N$200,5,)</f>
        <v>2919374</v>
      </c>
      <c r="G29" s="14">
        <f>VLOOKUP(A29,'LOCCS Import'!A$19:N$200,6,)</f>
        <v>2.19</v>
      </c>
      <c r="H29" s="14">
        <f>VLOOKUP(A29,'LOCCS Import'!A$19:N$200,7,)</f>
        <v>1.7</v>
      </c>
      <c r="I29" s="13">
        <f t="shared" si="1"/>
        <v>412735.00666666665</v>
      </c>
      <c r="J29" s="15">
        <f t="shared" si="2"/>
        <v>7</v>
      </c>
      <c r="K29" s="13">
        <f t="shared" si="3"/>
        <v>3516407.763333336</v>
      </c>
      <c r="L29" s="13" t="str">
        <f t="shared" si="4"/>
        <v>on track</v>
      </c>
      <c r="M29" s="13" t="str">
        <f t="shared" si="5"/>
        <v>on track</v>
      </c>
      <c r="N29" s="197">
        <v>43647</v>
      </c>
      <c r="O29" s="16">
        <f t="shared" si="6"/>
        <v>46204</v>
      </c>
      <c r="P29" s="13">
        <f ca="1">ROUND(C29-(VLOOKUP(A29,INDIRECT('LOCCS Import'!$E$3&amp;"$A$3"):INDIRECT('LOCCS Import'!$E$3&amp;"$O$54"),3,)),2)</f>
        <v>184460.16</v>
      </c>
      <c r="Q29" s="242" t="e">
        <f>#VALUE!</f>
        <v>#VALUE!</v>
      </c>
    </row>
    <row r="30" spans="1:17" x14ac:dyDescent="0.2">
      <c r="A30" s="4" t="s">
        <v>42</v>
      </c>
      <c r="B30" s="13">
        <f>VLOOKUP(A30,'LOCCS Import'!A$19:N$200,2,)</f>
        <v>355494147</v>
      </c>
      <c r="C30" s="13">
        <f>VLOOKUP(A30,'LOCCS Import'!A$19:N$200,3,)</f>
        <v>335364115.31999999</v>
      </c>
      <c r="D30" s="13">
        <f t="shared" si="0"/>
        <v>20130031.680000007</v>
      </c>
      <c r="E30" s="13">
        <f>VLOOKUP(A30,'LOCCS Import'!A$19:N$200,4,)</f>
        <v>10245882.369999999</v>
      </c>
      <c r="F30" s="13">
        <f>VLOOKUP(A30,'LOCCS Import'!A$19:N$200,5,)</f>
        <v>9435207</v>
      </c>
      <c r="G30" s="14">
        <f>VLOOKUP(A30,'LOCCS Import'!A$19:N$200,6,)</f>
        <v>2.13</v>
      </c>
      <c r="H30" s="14">
        <f>VLOOKUP(A30,'LOCCS Import'!A$19:N$200,7,)</f>
        <v>1.0900000000000001</v>
      </c>
      <c r="I30" s="13">
        <f t="shared" si="1"/>
        <v>853823.53083333327</v>
      </c>
      <c r="J30" s="15">
        <f t="shared" si="2"/>
        <v>1</v>
      </c>
      <c r="K30" s="13">
        <f t="shared" si="3"/>
        <v>19276208.149166673</v>
      </c>
      <c r="L30" s="13">
        <f t="shared" si="4"/>
        <v>1259617.6800000072</v>
      </c>
      <c r="M30" s="13" t="str">
        <f t="shared" si="5"/>
        <v>on track</v>
      </c>
      <c r="N30" s="197">
        <v>43831</v>
      </c>
      <c r="O30" s="16">
        <f t="shared" si="6"/>
        <v>46023</v>
      </c>
      <c r="P30" s="13">
        <f ca="1">ROUND(C30-(VLOOKUP(A30,INDIRECT('LOCCS Import'!$E$3&amp;"$A$3"):INDIRECT('LOCCS Import'!$E$3&amp;"$O$54"),3,)),2)</f>
        <v>783922.59</v>
      </c>
      <c r="Q30" s="242" t="e">
        <f>#VALUE!</f>
        <v>#VALUE!</v>
      </c>
    </row>
    <row r="31" spans="1:17" x14ac:dyDescent="0.2">
      <c r="A31" s="4" t="s">
        <v>43</v>
      </c>
      <c r="B31" s="13">
        <f>VLOOKUP(A31,'LOCCS Import'!A$19:N$200,2,)</f>
        <v>307409614.24000001</v>
      </c>
      <c r="C31" s="13">
        <f>VLOOKUP(A31,'LOCCS Import'!A$19:N$200,3,)</f>
        <v>284523317.00999999</v>
      </c>
      <c r="D31" s="13">
        <f t="shared" si="0"/>
        <v>22886297.230000019</v>
      </c>
      <c r="E31" s="13">
        <f>VLOOKUP(A31,'LOCCS Import'!A$19:N$200,4,)</f>
        <v>4418119.17</v>
      </c>
      <c r="F31" s="13">
        <f>VLOOKUP(A31,'LOCCS Import'!A$19:N$200,5,)</f>
        <v>6878551</v>
      </c>
      <c r="G31" s="14">
        <f>VLOOKUP(A31,'LOCCS Import'!A$19:N$200,6,)</f>
        <v>3.33</v>
      </c>
      <c r="H31" s="14">
        <f>VLOOKUP(A31,'LOCCS Import'!A$19:N$200,7,)</f>
        <v>0.64</v>
      </c>
      <c r="I31" s="13">
        <f t="shared" si="1"/>
        <v>368176.59749999997</v>
      </c>
      <c r="J31" s="15">
        <f t="shared" si="2"/>
        <v>7</v>
      </c>
      <c r="K31" s="13">
        <f t="shared" si="3"/>
        <v>20309061.047500018</v>
      </c>
      <c r="L31" s="13">
        <f t="shared" si="4"/>
        <v>1304170.74714286</v>
      </c>
      <c r="M31" s="13">
        <f t="shared" si="5"/>
        <v>812845.67571428849</v>
      </c>
      <c r="N31" s="197">
        <v>43647</v>
      </c>
      <c r="O31" s="16">
        <f t="shared" si="6"/>
        <v>46204</v>
      </c>
      <c r="P31" s="13">
        <f ca="1">ROUND(C31-(VLOOKUP(A31,INDIRECT('LOCCS Import'!$E$3&amp;"$A$3"):INDIRECT('LOCCS Import'!$E$3&amp;"$O$54"),3,)),2)</f>
        <v>812126.18</v>
      </c>
      <c r="Q31" s="242" t="e">
        <f>#VALUE!</f>
        <v>#VALUE!</v>
      </c>
    </row>
    <row r="32" spans="1:17" x14ac:dyDescent="0.2">
      <c r="A32" s="4" t="s">
        <v>44</v>
      </c>
      <c r="B32" s="13">
        <f>VLOOKUP(A32,'LOCCS Import'!A$19:N$200,2,)</f>
        <v>504504813</v>
      </c>
      <c r="C32" s="13">
        <f>VLOOKUP(A32,'LOCCS Import'!A$19:N$200,3,)</f>
        <v>464169555.19</v>
      </c>
      <c r="D32" s="13">
        <f t="shared" si="0"/>
        <v>40335257.810000002</v>
      </c>
      <c r="E32" s="13">
        <f>VLOOKUP(A32,'LOCCS Import'!A$19:N$200,4,)</f>
        <v>11968159.74</v>
      </c>
      <c r="F32" s="13">
        <f>VLOOKUP(A32,'LOCCS Import'!A$19:N$200,5,)</f>
        <v>10946097</v>
      </c>
      <c r="G32" s="14">
        <f>VLOOKUP(A32,'LOCCS Import'!A$19:N$200,6,)</f>
        <v>3.68</v>
      </c>
      <c r="H32" s="14">
        <f>VLOOKUP(A32,'LOCCS Import'!A$19:N$200,7,)</f>
        <v>1.0900000000000001</v>
      </c>
      <c r="I32" s="13">
        <f t="shared" si="1"/>
        <v>997346.64500000002</v>
      </c>
      <c r="J32" s="15">
        <f t="shared" si="2"/>
        <v>1</v>
      </c>
      <c r="K32" s="13">
        <f t="shared" si="3"/>
        <v>39337911.164999999</v>
      </c>
      <c r="L32" s="13">
        <f t="shared" si="4"/>
        <v>18443063.810000002</v>
      </c>
      <c r="M32" s="13">
        <f t="shared" si="5"/>
        <v>12970015.310000002</v>
      </c>
      <c r="N32" s="197">
        <v>43831</v>
      </c>
      <c r="O32" s="16">
        <f t="shared" si="6"/>
        <v>46023</v>
      </c>
      <c r="P32" s="13">
        <f ca="1">ROUND(C32-(VLOOKUP(A32,INDIRECT('LOCCS Import'!$E$3&amp;"$A$3"):INDIRECT('LOCCS Import'!$E$3&amp;"$O$54"),3,)),2)</f>
        <v>894226.48</v>
      </c>
      <c r="Q32" s="242" t="e">
        <f>#VALUE!</f>
        <v>#VALUE!</v>
      </c>
    </row>
    <row r="33" spans="1:17" x14ac:dyDescent="0.2">
      <c r="A33" s="4" t="s">
        <v>45</v>
      </c>
      <c r="B33" s="13">
        <f>VLOOKUP(A33,'LOCCS Import'!A$19:N$200,2,)</f>
        <v>1324242232.53</v>
      </c>
      <c r="C33" s="13">
        <f>VLOOKUP(A33,'LOCCS Import'!A$19:N$200,3,)</f>
        <v>1147058995.02</v>
      </c>
      <c r="D33" s="13">
        <f t="shared" si="0"/>
        <v>177183237.50999999</v>
      </c>
      <c r="E33" s="13">
        <f>VLOOKUP(A33,'LOCCS Import'!A$19:N$200,4,)</f>
        <v>44126817.07</v>
      </c>
      <c r="F33" s="13">
        <f>VLOOKUP(A33,'LOCCS Import'!A$19:N$200,5,)</f>
        <v>47819699</v>
      </c>
      <c r="G33" s="14">
        <f>VLOOKUP(A33,'LOCCS Import'!A$19:N$200,6,)</f>
        <v>3.71</v>
      </c>
      <c r="H33" s="14">
        <f>VLOOKUP(A33,'LOCCS Import'!A$19:N$200,7,)</f>
        <v>0.92</v>
      </c>
      <c r="I33" s="13">
        <f t="shared" si="1"/>
        <v>3677234.7558333334</v>
      </c>
      <c r="J33" s="15">
        <f t="shared" si="2"/>
        <v>1</v>
      </c>
      <c r="K33" s="13">
        <f t="shared" si="3"/>
        <v>173506002.75416666</v>
      </c>
      <c r="L33" s="13">
        <f t="shared" si="4"/>
        <v>81543839.50999999</v>
      </c>
      <c r="M33" s="13">
        <f t="shared" si="5"/>
        <v>57633990.00999999</v>
      </c>
      <c r="N33" s="197">
        <v>43831</v>
      </c>
      <c r="O33" s="16">
        <f t="shared" si="6"/>
        <v>46023</v>
      </c>
      <c r="P33" s="13">
        <f ca="1">ROUND(C33-(VLOOKUP(A33,INDIRECT('LOCCS Import'!$E$3&amp;"$A$3"):INDIRECT('LOCCS Import'!$E$3&amp;"$O$54"),3,)),2)</f>
        <v>4100340.19</v>
      </c>
      <c r="Q33" s="242" t="e">
        <f>#VALUE!</f>
        <v>#VALUE!</v>
      </c>
    </row>
    <row r="34" spans="1:17" x14ac:dyDescent="0.2">
      <c r="A34" s="4" t="s">
        <v>46</v>
      </c>
      <c r="B34" s="13">
        <f>VLOOKUP(A34,'LOCCS Import'!A$19:N$200,2,)</f>
        <v>1834758280.3599999</v>
      </c>
      <c r="C34" s="13">
        <f>VLOOKUP(A34,'LOCCS Import'!A$19:N$200,3,)</f>
        <v>1608503408.75</v>
      </c>
      <c r="D34" s="13">
        <f t="shared" si="0"/>
        <v>226254871.6099999</v>
      </c>
      <c r="E34" s="13">
        <f>VLOOKUP(A34,'LOCCS Import'!A$19:N$200,4,)</f>
        <v>40926432.950000003</v>
      </c>
      <c r="F34" s="13">
        <f>VLOOKUP(A34,'LOCCS Import'!A$19:N$200,5,)</f>
        <v>46162390</v>
      </c>
      <c r="G34" s="14">
        <f>VLOOKUP(A34,'LOCCS Import'!A$19:N$200,6,)</f>
        <v>4.9000000000000004</v>
      </c>
      <c r="H34" s="14">
        <f>VLOOKUP(A34,'LOCCS Import'!A$19:N$200,7,)</f>
        <v>0.89</v>
      </c>
      <c r="I34" s="13">
        <f t="shared" si="1"/>
        <v>3410536.0791666671</v>
      </c>
      <c r="J34" s="15">
        <f t="shared" si="2"/>
        <v>1</v>
      </c>
      <c r="K34" s="13">
        <f t="shared" si="3"/>
        <v>222844335.53083321</v>
      </c>
      <c r="L34" s="13">
        <f t="shared" si="4"/>
        <v>133930091.6099999</v>
      </c>
      <c r="M34" s="13">
        <f t="shared" si="5"/>
        <v>110848896.6099999</v>
      </c>
      <c r="N34" s="197">
        <v>43831</v>
      </c>
      <c r="O34" s="16">
        <f t="shared" si="6"/>
        <v>46023</v>
      </c>
      <c r="P34" s="13">
        <f ca="1">ROUND(C34-(VLOOKUP(A34,INDIRECT('LOCCS Import'!$E$3&amp;"$A$3"):INDIRECT('LOCCS Import'!$E$3&amp;"$O$54"),3,)),2)</f>
        <v>1644767.5</v>
      </c>
      <c r="Q34" s="242" t="e">
        <f>#VALUE!</f>
        <v>#VALUE!</v>
      </c>
    </row>
    <row r="35" spans="1:17" x14ac:dyDescent="0.2">
      <c r="A35" s="4" t="s">
        <v>47</v>
      </c>
      <c r="B35" s="13">
        <f>VLOOKUP(A35,'LOCCS Import'!A$19:N$200,2,)</f>
        <v>194558780.36000001</v>
      </c>
      <c r="C35" s="13">
        <f>VLOOKUP(A35,'LOCCS Import'!A$19:N$200,3,)</f>
        <v>180871507.41</v>
      </c>
      <c r="D35" s="13">
        <f t="shared" ref="D35:D53" si="7">B35-C35</f>
        <v>13687272.950000018</v>
      </c>
      <c r="E35" s="13">
        <f>VLOOKUP(A35,'LOCCS Import'!A$19:N$200,4,)</f>
        <v>6896961.3899999997</v>
      </c>
      <c r="F35" s="13">
        <f>VLOOKUP(A35,'LOCCS Import'!A$19:N$200,5,)</f>
        <v>3559742</v>
      </c>
      <c r="G35" s="14">
        <f>VLOOKUP(A35,'LOCCS Import'!A$19:N$200,6,)</f>
        <v>3.85</v>
      </c>
      <c r="H35" s="14">
        <f>VLOOKUP(A35,'LOCCS Import'!A$19:N$200,7,)</f>
        <v>1.94</v>
      </c>
      <c r="I35" s="13">
        <f t="shared" ref="I35:I53" si="8">E35/12</f>
        <v>574746.78249999997</v>
      </c>
      <c r="J35" s="15">
        <f t="shared" ref="J35:J52" si="9">IF(((MONTH(O35))&lt;=(MONTH($B$1))),((MONTH(O35)-3)+12-(MONTH($B$1))),IF(((MONTH(O35)-3)-(MONTH($B$1)))&gt;0,(MONTH(O35)-3)-(MONTH($B$1)),0))</f>
        <v>7</v>
      </c>
      <c r="K35" s="13">
        <f t="shared" ref="K35:K52" si="10">IF(J35&lt;0,"NA",D35-(J35*I35))</f>
        <v>9664045.4725000188</v>
      </c>
      <c r="L35" s="13">
        <f t="shared" ref="L35:L52" si="11">IF(K35&lt;F35*2,"on track",IF(J35&lt;1,"NA",(D35-F35*2)/J35))</f>
        <v>938255.56428571686</v>
      </c>
      <c r="M35" s="13">
        <f t="shared" ref="M35:M52" si="12">IF(K35&lt;F35*2.5,"on track",IF(J35&lt;1,"NA",(D35-F35*2.5)/J35))</f>
        <v>683988.27857143118</v>
      </c>
      <c r="N35" s="197">
        <v>43647</v>
      </c>
      <c r="O35" s="16">
        <f t="shared" ref="O35:O52" si="13">DATE(IF(MONTH($B$1)&lt;MONTH(N35),YEAR($B$1)-1,YEAR($B$1)),MONTH(N35),1)</f>
        <v>46204</v>
      </c>
      <c r="P35" s="13">
        <f ca="1">ROUND(C35-(VLOOKUP(A35,INDIRECT('LOCCS Import'!$E$3&amp;"$A$3"):INDIRECT('LOCCS Import'!$E$3&amp;"$O$54"),3,)),2)</f>
        <v>0</v>
      </c>
      <c r="Q35" s="242" t="e">
        <f>#VALUE!</f>
        <v>#VALUE!</v>
      </c>
    </row>
    <row r="36" spans="1:17" x14ac:dyDescent="0.2">
      <c r="A36" s="4" t="s">
        <v>48</v>
      </c>
      <c r="B36" s="13">
        <f>VLOOKUP(A36,'LOCCS Import'!A$19:N$200,2,)</f>
        <v>1985336227.8699999</v>
      </c>
      <c r="C36" s="13">
        <f>VLOOKUP(A36,'LOCCS Import'!A$19:N$200,3,)</f>
        <v>1912314101.1600001</v>
      </c>
      <c r="D36" s="13">
        <f t="shared" si="7"/>
        <v>73022126.7099998</v>
      </c>
      <c r="E36" s="13">
        <f>VLOOKUP(A36,'LOCCS Import'!A$19:N$200,4,)</f>
        <v>42155153.490000002</v>
      </c>
      <c r="F36" s="13">
        <f>VLOOKUP(A36,'LOCCS Import'!A$19:N$200,5,)</f>
        <v>45588088</v>
      </c>
      <c r="G36" s="14">
        <f>VLOOKUP(A36,'LOCCS Import'!A$19:N$200,6,)</f>
        <v>1.6</v>
      </c>
      <c r="H36" s="14">
        <f>VLOOKUP(A36,'LOCCS Import'!A$19:N$200,7,)</f>
        <v>0.92</v>
      </c>
      <c r="I36" s="13">
        <f t="shared" si="8"/>
        <v>3512929.4575</v>
      </c>
      <c r="J36" s="15">
        <f t="shared" si="9"/>
        <v>7</v>
      </c>
      <c r="K36" s="13">
        <f t="shared" si="10"/>
        <v>48431620.507499799</v>
      </c>
      <c r="L36" s="13" t="str">
        <f t="shared" si="11"/>
        <v>on track</v>
      </c>
      <c r="M36" s="13" t="str">
        <f t="shared" si="12"/>
        <v>on track</v>
      </c>
      <c r="N36" s="197">
        <v>43647</v>
      </c>
      <c r="O36" s="16">
        <f t="shared" si="13"/>
        <v>46204</v>
      </c>
      <c r="P36" s="13">
        <f ca="1">ROUND(C36-(VLOOKUP(A36,INDIRECT('LOCCS Import'!$E$3&amp;"$A$3"):INDIRECT('LOCCS Import'!$E$3&amp;"$O$54"),3,)),2)</f>
        <v>4845398.9000000004</v>
      </c>
      <c r="Q36" s="242" t="e">
        <f>#VALUE!</f>
        <v>#VALUE!</v>
      </c>
    </row>
    <row r="37" spans="1:17" x14ac:dyDescent="0.2">
      <c r="A37" s="4" t="s">
        <v>49</v>
      </c>
      <c r="B37" s="13">
        <f>VLOOKUP(A37,'LOCCS Import'!A$19:N$200,2,)</f>
        <v>699324314.05999994</v>
      </c>
      <c r="C37" s="13">
        <f>VLOOKUP(A37,'LOCCS Import'!A$19:N$200,3,)</f>
        <v>674347919.73000002</v>
      </c>
      <c r="D37" s="13">
        <f t="shared" si="7"/>
        <v>24976394.329999924</v>
      </c>
      <c r="E37" s="13">
        <f>VLOOKUP(A37,'LOCCS Import'!A$19:N$200,4,)</f>
        <v>10748663.92</v>
      </c>
      <c r="F37" s="13">
        <f>VLOOKUP(A37,'LOCCS Import'!A$19:N$200,5,)</f>
        <v>14024709</v>
      </c>
      <c r="G37" s="14">
        <f>VLOOKUP(A37,'LOCCS Import'!A$19:N$200,6,)</f>
        <v>1.78</v>
      </c>
      <c r="H37" s="14">
        <f>VLOOKUP(A37,'LOCCS Import'!A$19:N$200,7,)</f>
        <v>0.77</v>
      </c>
      <c r="I37" s="13">
        <f t="shared" si="8"/>
        <v>895721.99333333329</v>
      </c>
      <c r="J37" s="15">
        <f t="shared" si="9"/>
        <v>4</v>
      </c>
      <c r="K37" s="13">
        <f t="shared" si="10"/>
        <v>21393506.356666591</v>
      </c>
      <c r="L37" s="13" t="str">
        <f t="shared" si="11"/>
        <v>on track</v>
      </c>
      <c r="M37" s="13" t="str">
        <f t="shared" si="12"/>
        <v>on track</v>
      </c>
      <c r="N37" s="197">
        <v>43922</v>
      </c>
      <c r="O37" s="16">
        <f t="shared" si="13"/>
        <v>46113</v>
      </c>
      <c r="P37" s="13">
        <f ca="1">ROUND(C37-(VLOOKUP(A37,INDIRECT('LOCCS Import'!$E$3&amp;"$A$3"):INDIRECT('LOCCS Import'!$E$3&amp;"$O$54"),3,)),2)</f>
        <v>1684228.07</v>
      </c>
      <c r="Q37" s="242" t="e">
        <f>#VALUE!</f>
        <v>#VALUE!</v>
      </c>
    </row>
    <row r="38" spans="1:17" x14ac:dyDescent="0.2">
      <c r="A38" s="4" t="s">
        <v>50</v>
      </c>
      <c r="B38" s="13">
        <f>VLOOKUP(A38,'LOCCS Import'!A$19:N$200,2,)</f>
        <v>557171086.30999994</v>
      </c>
      <c r="C38" s="13">
        <f>VLOOKUP(A38,'LOCCS Import'!A$19:N$200,3,)</f>
        <v>538777145.30999994</v>
      </c>
      <c r="D38" s="13">
        <f t="shared" si="7"/>
        <v>18393941</v>
      </c>
      <c r="E38" s="13">
        <f>VLOOKUP(A38,'LOCCS Import'!A$19:N$200,4,)</f>
        <v>15008065.6</v>
      </c>
      <c r="F38" s="13">
        <f>VLOOKUP(A38,'LOCCS Import'!A$19:N$200,5,)</f>
        <v>11761407</v>
      </c>
      <c r="G38" s="14">
        <f>VLOOKUP(A38,'LOCCS Import'!A$19:N$200,6,)</f>
        <v>1.56</v>
      </c>
      <c r="H38" s="14">
        <f>VLOOKUP(A38,'LOCCS Import'!A$19:N$200,7,)</f>
        <v>1.28</v>
      </c>
      <c r="I38" s="13">
        <f t="shared" si="8"/>
        <v>1250672.1333333333</v>
      </c>
      <c r="J38" s="15">
        <f t="shared" si="9"/>
        <v>1</v>
      </c>
      <c r="K38" s="13">
        <f t="shared" si="10"/>
        <v>17143268.866666667</v>
      </c>
      <c r="L38" s="13" t="str">
        <f t="shared" si="11"/>
        <v>on track</v>
      </c>
      <c r="M38" s="13" t="str">
        <f t="shared" si="12"/>
        <v>on track</v>
      </c>
      <c r="N38" s="197">
        <v>43831</v>
      </c>
      <c r="O38" s="16">
        <f t="shared" si="13"/>
        <v>46023</v>
      </c>
      <c r="P38" s="13">
        <f ca="1">ROUND(C38-(VLOOKUP(A38,INDIRECT('LOCCS Import'!$E$3&amp;"$A$3"):INDIRECT('LOCCS Import'!$E$3&amp;"$O$54"),3,)),2)</f>
        <v>977003</v>
      </c>
      <c r="Q38" s="242" t="e">
        <f>#VALUE!</f>
        <v>#VALUE!</v>
      </c>
    </row>
    <row r="39" spans="1:17" x14ac:dyDescent="0.2">
      <c r="A39" s="4" t="s">
        <v>51</v>
      </c>
      <c r="B39" s="13">
        <f>VLOOKUP(A39,'LOCCS Import'!A$19:N$200,2,)</f>
        <v>2041893568.29</v>
      </c>
      <c r="C39" s="13">
        <f>VLOOKUP(A39,'LOCCS Import'!A$19:N$200,3,)</f>
        <v>1930222536.48</v>
      </c>
      <c r="D39" s="13">
        <f t="shared" si="7"/>
        <v>111671031.80999994</v>
      </c>
      <c r="E39" s="13">
        <f>VLOOKUP(A39,'LOCCS Import'!A$19:N$200,4,)</f>
        <v>39709785.649999999</v>
      </c>
      <c r="F39" s="13">
        <f>VLOOKUP(A39,'LOCCS Import'!A$19:N$200,5,)</f>
        <v>40828727</v>
      </c>
      <c r="G39" s="14">
        <f>VLOOKUP(A39,'LOCCS Import'!A$19:N$200,6,)</f>
        <v>2.74</v>
      </c>
      <c r="H39" s="14">
        <f>VLOOKUP(A39,'LOCCS Import'!A$19:N$200,7,)</f>
        <v>0.97</v>
      </c>
      <c r="I39" s="13">
        <f t="shared" si="8"/>
        <v>3309148.8041666667</v>
      </c>
      <c r="J39" s="15">
        <f t="shared" si="9"/>
        <v>1</v>
      </c>
      <c r="K39" s="13">
        <f t="shared" si="10"/>
        <v>108361883.00583328</v>
      </c>
      <c r="L39" s="13">
        <f t="shared" si="11"/>
        <v>30013577.809999943</v>
      </c>
      <c r="M39" s="13">
        <f t="shared" si="12"/>
        <v>9599214.3099999428</v>
      </c>
      <c r="N39" s="197">
        <v>43831</v>
      </c>
      <c r="O39" s="16">
        <f t="shared" si="13"/>
        <v>46023</v>
      </c>
      <c r="P39" s="13">
        <f ca="1">ROUND(C39-(VLOOKUP(A39,INDIRECT('LOCCS Import'!$E$3&amp;"$A$3"):INDIRECT('LOCCS Import'!$E$3&amp;"$O$54"),3,)),2)</f>
        <v>2221490.7799999998</v>
      </c>
      <c r="Q39" s="242" t="e">
        <f>#VALUE!</f>
        <v>#VALUE!</v>
      </c>
    </row>
    <row r="40" spans="1:17" x14ac:dyDescent="0.2">
      <c r="A40" s="4" t="s">
        <v>52</v>
      </c>
      <c r="B40" s="13">
        <f>VLOOKUP(A40,'LOCCS Import'!A$19:N$200,2,)</f>
        <v>1988273334</v>
      </c>
      <c r="C40" s="13">
        <f>VLOOKUP(A40,'LOCCS Import'!A$19:N$200,3,)</f>
        <v>1891689690.6500001</v>
      </c>
      <c r="D40" s="13">
        <f t="shared" si="7"/>
        <v>96583643.349999905</v>
      </c>
      <c r="E40" s="13">
        <f>VLOOKUP(A40,'LOCCS Import'!A$19:N$200,4,)</f>
        <v>25216348.43</v>
      </c>
      <c r="F40" s="13">
        <f>VLOOKUP(A40,'LOCCS Import'!A$19:N$200,5,)</f>
        <v>21377853</v>
      </c>
      <c r="G40" s="14">
        <f>VLOOKUP(A40,'LOCCS Import'!A$19:N$200,6,)</f>
        <v>4.5199999999999996</v>
      </c>
      <c r="H40" s="14">
        <f>VLOOKUP(A40,'LOCCS Import'!A$19:N$200,7,)</f>
        <v>1.18</v>
      </c>
      <c r="I40" s="13">
        <f t="shared" si="8"/>
        <v>2101362.3691666666</v>
      </c>
      <c r="J40" s="15">
        <f t="shared" si="9"/>
        <v>7</v>
      </c>
      <c r="K40" s="13">
        <f t="shared" si="10"/>
        <v>81874106.765833244</v>
      </c>
      <c r="L40" s="13">
        <f t="shared" si="11"/>
        <v>7689705.3357142722</v>
      </c>
      <c r="M40" s="13">
        <f t="shared" si="12"/>
        <v>6162715.8357142722</v>
      </c>
      <c r="N40" s="197">
        <v>43647</v>
      </c>
      <c r="O40" s="16">
        <f t="shared" si="13"/>
        <v>46204</v>
      </c>
      <c r="P40" s="13">
        <f ca="1">ROUND(C40-(VLOOKUP(A40,INDIRECT('LOCCS Import'!$E$3&amp;"$A$3"):INDIRECT('LOCCS Import'!$E$3&amp;"$O$54"),3,)),2)</f>
        <v>4761569.5199999996</v>
      </c>
      <c r="Q40" s="242" t="e">
        <f>#VALUE!</f>
        <v>#VALUE!</v>
      </c>
    </row>
    <row r="41" spans="1:17" x14ac:dyDescent="0.2">
      <c r="A41" s="4" t="s">
        <v>53</v>
      </c>
      <c r="B41" s="13">
        <f>VLOOKUP(A41,'LOCCS Import'!A$19:N$200,2,)</f>
        <v>208940278.25</v>
      </c>
      <c r="C41" s="13">
        <f>VLOOKUP(A41,'LOCCS Import'!A$19:N$200,3,)</f>
        <v>190380583.19999999</v>
      </c>
      <c r="D41" s="13">
        <f t="shared" si="7"/>
        <v>18559695.050000012</v>
      </c>
      <c r="E41" s="13">
        <f>VLOOKUP(A41,'LOCCS Import'!A$19:N$200,4,)</f>
        <v>5064109.53</v>
      </c>
      <c r="F41" s="13">
        <f>VLOOKUP(A41,'LOCCS Import'!A$19:N$200,5,)</f>
        <v>5755637</v>
      </c>
      <c r="G41" s="14">
        <f>VLOOKUP(A41,'LOCCS Import'!A$19:N$200,6,)</f>
        <v>3.22</v>
      </c>
      <c r="H41" s="14">
        <f>VLOOKUP(A41,'LOCCS Import'!A$19:N$200,7,)</f>
        <v>0.88</v>
      </c>
      <c r="I41" s="13">
        <f t="shared" si="8"/>
        <v>422009.1275</v>
      </c>
      <c r="J41" s="15">
        <f t="shared" si="9"/>
        <v>7</v>
      </c>
      <c r="K41" s="13">
        <f t="shared" si="10"/>
        <v>15605631.157500012</v>
      </c>
      <c r="L41" s="13">
        <f t="shared" si="11"/>
        <v>1006917.2928571446</v>
      </c>
      <c r="M41" s="13">
        <f t="shared" si="12"/>
        <v>595800.36428571597</v>
      </c>
      <c r="N41" s="197">
        <v>43647</v>
      </c>
      <c r="O41" s="16">
        <f t="shared" si="13"/>
        <v>46204</v>
      </c>
      <c r="P41" s="13">
        <f ca="1">ROUND(C41-(VLOOKUP(A41,INDIRECT('LOCCS Import'!$E$3&amp;"$A$3"):INDIRECT('LOCCS Import'!$E$3&amp;"$O$54"),3,)),2)</f>
        <v>496207.88</v>
      </c>
      <c r="Q41" s="242" t="e">
        <f>#VALUE!</f>
        <v>#VALUE!</v>
      </c>
    </row>
    <row r="42" spans="1:17" x14ac:dyDescent="0.2">
      <c r="A42" s="4" t="s">
        <v>54</v>
      </c>
      <c r="B42" s="13">
        <f>VLOOKUP(A42,'LOCCS Import'!A$19:N$200,2,)</f>
        <v>1062884699.45</v>
      </c>
      <c r="C42" s="13">
        <f>VLOOKUP(A42,'LOCCS Import'!A$19:N$200,3,)</f>
        <v>982220065.13</v>
      </c>
      <c r="D42" s="13">
        <f t="shared" si="7"/>
        <v>80664634.320000052</v>
      </c>
      <c r="E42" s="13">
        <f>VLOOKUP(A42,'LOCCS Import'!A$19:N$200,4,)</f>
        <v>20722626.93</v>
      </c>
      <c r="F42" s="13">
        <f>VLOOKUP(A42,'LOCCS Import'!A$19:N$200,5,)</f>
        <v>20295542</v>
      </c>
      <c r="G42" s="14">
        <f>VLOOKUP(A42,'LOCCS Import'!A$19:N$200,6,)</f>
        <v>3.97</v>
      </c>
      <c r="H42" s="14">
        <f>VLOOKUP(A42,'LOCCS Import'!A$19:N$200,7,)</f>
        <v>1.02</v>
      </c>
      <c r="I42" s="13">
        <f t="shared" si="8"/>
        <v>1726885.5774999999</v>
      </c>
      <c r="J42" s="15">
        <f t="shared" si="9"/>
        <v>4</v>
      </c>
      <c r="K42" s="13">
        <f t="shared" si="10"/>
        <v>73757092.01000005</v>
      </c>
      <c r="L42" s="13">
        <f t="shared" si="11"/>
        <v>10018387.580000013</v>
      </c>
      <c r="M42" s="13">
        <f t="shared" si="12"/>
        <v>7481444.8300000131</v>
      </c>
      <c r="N42" s="197">
        <v>43922</v>
      </c>
      <c r="O42" s="16">
        <f t="shared" si="13"/>
        <v>46113</v>
      </c>
      <c r="P42" s="13">
        <f ca="1">ROUND(C42-(VLOOKUP(A42,INDIRECT('LOCCS Import'!$E$3&amp;"$A$3"):INDIRECT('LOCCS Import'!$E$3&amp;"$O$54"),3,)),2)</f>
        <v>1815765.4</v>
      </c>
      <c r="Q42" s="242" t="e">
        <f>#VALUE!</f>
        <v>#VALUE!</v>
      </c>
    </row>
    <row r="43" spans="1:17" x14ac:dyDescent="0.2">
      <c r="A43" s="4" t="s">
        <v>55</v>
      </c>
      <c r="B43" s="13">
        <f>VLOOKUP(A43,'LOCCS Import'!A$19:N$200,2,)</f>
        <v>265541640</v>
      </c>
      <c r="C43" s="13">
        <f>VLOOKUP(A43,'LOCCS Import'!A$19:N$200,3,)</f>
        <v>243099732.75</v>
      </c>
      <c r="D43" s="13">
        <f t="shared" si="7"/>
        <v>22441907.25</v>
      </c>
      <c r="E43" s="13">
        <f>VLOOKUP(A43,'LOCCS Import'!A$19:N$200,4,)</f>
        <v>3047483.52</v>
      </c>
      <c r="F43" s="13">
        <f>VLOOKUP(A43,'LOCCS Import'!A$19:N$200,5,)</f>
        <v>5658227</v>
      </c>
      <c r="G43" s="14">
        <f>VLOOKUP(A43,'LOCCS Import'!A$19:N$200,6,)</f>
        <v>3.97</v>
      </c>
      <c r="H43" s="14">
        <f>VLOOKUP(A43,'LOCCS Import'!A$19:N$200,7,)</f>
        <v>0.54</v>
      </c>
      <c r="I43" s="13">
        <f t="shared" si="8"/>
        <v>253956.96</v>
      </c>
      <c r="J43" s="15">
        <f t="shared" si="9"/>
        <v>1</v>
      </c>
      <c r="K43" s="13">
        <f t="shared" si="10"/>
        <v>22187950.289999999</v>
      </c>
      <c r="L43" s="13">
        <f t="shared" si="11"/>
        <v>11125453.25</v>
      </c>
      <c r="M43" s="13">
        <f t="shared" si="12"/>
        <v>8296339.75</v>
      </c>
      <c r="N43" s="197">
        <v>43831</v>
      </c>
      <c r="O43" s="16">
        <f t="shared" si="13"/>
        <v>46023</v>
      </c>
      <c r="P43" s="13">
        <f ca="1">ROUND(C43-(VLOOKUP(A43,INDIRECT('LOCCS Import'!$E$3&amp;"$A$3"):INDIRECT('LOCCS Import'!$E$3&amp;"$O$54"),3,)),2)</f>
        <v>0</v>
      </c>
      <c r="Q43" s="242" t="e">
        <f>#VALUE!</f>
        <v>#VALUE!</v>
      </c>
    </row>
    <row r="44" spans="1:17" x14ac:dyDescent="0.2">
      <c r="A44" s="4" t="s">
        <v>56</v>
      </c>
      <c r="B44" s="13">
        <f>VLOOKUP(A44,'LOCCS Import'!A$19:N$200,2,)</f>
        <v>1210656314</v>
      </c>
      <c r="C44" s="13">
        <f>VLOOKUP(A44,'LOCCS Import'!A$19:N$200,3,)</f>
        <v>1112537918.49</v>
      </c>
      <c r="D44" s="13">
        <f t="shared" si="7"/>
        <v>98118395.50999999</v>
      </c>
      <c r="E44" s="13">
        <f>VLOOKUP(A44,'LOCCS Import'!A$19:N$200,4,)</f>
        <v>20739846.91</v>
      </c>
      <c r="F44" s="13">
        <f>VLOOKUP(A44,'LOCCS Import'!A$19:N$200,5,)</f>
        <v>28278835</v>
      </c>
      <c r="G44" s="14">
        <f>VLOOKUP(A44,'LOCCS Import'!A$19:N$200,6,)</f>
        <v>3.47</v>
      </c>
      <c r="H44" s="14">
        <f>VLOOKUP(A44,'LOCCS Import'!A$19:N$200,7,)</f>
        <v>0.73</v>
      </c>
      <c r="I44" s="13">
        <f t="shared" si="8"/>
        <v>1728320.5758333334</v>
      </c>
      <c r="J44" s="15">
        <f t="shared" si="9"/>
        <v>7</v>
      </c>
      <c r="K44" s="13">
        <f t="shared" si="10"/>
        <v>86020151.479166657</v>
      </c>
      <c r="L44" s="13">
        <f t="shared" si="11"/>
        <v>5937246.5014285697</v>
      </c>
      <c r="M44" s="13">
        <f t="shared" si="12"/>
        <v>3917329.7157142842</v>
      </c>
      <c r="N44" s="197">
        <v>43647</v>
      </c>
      <c r="O44" s="16">
        <f t="shared" si="13"/>
        <v>46204</v>
      </c>
      <c r="P44" s="13">
        <f ca="1">ROUND(C44-(VLOOKUP(A44,INDIRECT('LOCCS Import'!$E$3&amp;"$A$3"):INDIRECT('LOCCS Import'!$E$3&amp;"$O$54"),3,)),2)</f>
        <v>1359111.2</v>
      </c>
      <c r="Q44" s="242" t="e">
        <f>#VALUE!</f>
        <v>#VALUE!</v>
      </c>
    </row>
    <row r="45" spans="1:17" x14ac:dyDescent="0.2">
      <c r="A45" s="4" t="s">
        <v>57</v>
      </c>
      <c r="B45" s="13">
        <f>VLOOKUP(A45,'LOCCS Import'!A$19:N$200,2,)</f>
        <v>2950491414.54</v>
      </c>
      <c r="C45" s="13">
        <f>VLOOKUP(A45,'LOCCS Import'!A$19:N$200,3,)</f>
        <v>2798050511.3200002</v>
      </c>
      <c r="D45" s="13">
        <f t="shared" si="7"/>
        <v>152440903.21999979</v>
      </c>
      <c r="E45" s="13">
        <f>VLOOKUP(A45,'LOCCS Import'!A$19:N$200,4,)</f>
        <v>59015953.539999999</v>
      </c>
      <c r="F45" s="13">
        <f>VLOOKUP(A45,'LOCCS Import'!A$19:N$200,5,)</f>
        <v>71178309</v>
      </c>
      <c r="G45" s="14">
        <f>VLOOKUP(A45,'LOCCS Import'!A$19:N$200,6,)</f>
        <v>2.14</v>
      </c>
      <c r="H45" s="14">
        <f>VLOOKUP(A45,'LOCCS Import'!A$19:N$200,7,)</f>
        <v>0.83</v>
      </c>
      <c r="I45" s="13">
        <f t="shared" si="8"/>
        <v>4917996.1283333329</v>
      </c>
      <c r="J45" s="15">
        <f t="shared" si="9"/>
        <v>9</v>
      </c>
      <c r="K45" s="13">
        <f t="shared" si="10"/>
        <v>108178938.06499979</v>
      </c>
      <c r="L45" s="13" t="str">
        <f t="shared" si="11"/>
        <v>on track</v>
      </c>
      <c r="M45" s="13" t="str">
        <f t="shared" si="12"/>
        <v>on track</v>
      </c>
      <c r="N45" s="197">
        <v>44075</v>
      </c>
      <c r="O45" s="16">
        <f t="shared" si="13"/>
        <v>46266</v>
      </c>
      <c r="P45" s="13">
        <f ca="1">ROUND(C45-(VLOOKUP(A45,INDIRECT('LOCCS Import'!$E$3&amp;"$A$3"):INDIRECT('LOCCS Import'!$E$3&amp;"$O$54"),3,)),2)</f>
        <v>4019085.19</v>
      </c>
      <c r="Q45" s="242" t="e">
        <f>#VALUE!</f>
        <v>#VALUE!</v>
      </c>
    </row>
    <row r="46" spans="1:17" x14ac:dyDescent="0.2">
      <c r="A46" s="4" t="s">
        <v>58</v>
      </c>
      <c r="B46" s="13">
        <f>VLOOKUP(A46,'LOCCS Import'!A$19:N$200,2,)</f>
        <v>249254814</v>
      </c>
      <c r="C46" s="13">
        <f>VLOOKUP(A46,'LOCCS Import'!A$19:N$200,3,)</f>
        <v>237128298.05000001</v>
      </c>
      <c r="D46" s="13">
        <f t="shared" si="7"/>
        <v>12126515.949999988</v>
      </c>
      <c r="E46" s="13">
        <f>VLOOKUP(A46,'LOCCS Import'!A$19:N$200,4,)</f>
        <v>3684511.84</v>
      </c>
      <c r="F46" s="13">
        <f>VLOOKUP(A46,'LOCCS Import'!A$19:N$200,5,)</f>
        <v>5490163</v>
      </c>
      <c r="G46" s="14">
        <f>VLOOKUP(A46,'LOCCS Import'!A$19:N$200,6,)</f>
        <v>2.21</v>
      </c>
      <c r="H46" s="14">
        <f>VLOOKUP(A46,'LOCCS Import'!A$19:N$200,7,)</f>
        <v>0.67</v>
      </c>
      <c r="I46" s="13">
        <f t="shared" si="8"/>
        <v>307042.65333333332</v>
      </c>
      <c r="J46" s="15">
        <f t="shared" si="9"/>
        <v>7</v>
      </c>
      <c r="K46" s="13">
        <f t="shared" si="10"/>
        <v>9977217.3766666539</v>
      </c>
      <c r="L46" s="13" t="str">
        <f t="shared" si="11"/>
        <v>on track</v>
      </c>
      <c r="M46" s="13" t="str">
        <f t="shared" si="12"/>
        <v>on track</v>
      </c>
      <c r="N46" s="197">
        <v>43647</v>
      </c>
      <c r="O46" s="16">
        <f t="shared" si="13"/>
        <v>46204</v>
      </c>
      <c r="P46" s="13">
        <f ca="1">ROUND(C46-(VLOOKUP(A46,INDIRECT('LOCCS Import'!$E$3&amp;"$A$3"):INDIRECT('LOCCS Import'!$E$3&amp;"$O$54"),3,)),2)</f>
        <v>609728</v>
      </c>
      <c r="Q46" s="242" t="e">
        <f>#VALUE!</f>
        <v>#VALUE!</v>
      </c>
    </row>
    <row r="47" spans="1:17" x14ac:dyDescent="0.2">
      <c r="A47" s="4" t="s">
        <v>59</v>
      </c>
      <c r="B47" s="13">
        <f>VLOOKUP(A47,'LOCCS Import'!A$19:N$200,2,)</f>
        <v>292527132</v>
      </c>
      <c r="C47" s="13">
        <f>VLOOKUP(A47,'LOCCS Import'!A$19:N$200,3,)</f>
        <v>269891608</v>
      </c>
      <c r="D47" s="13">
        <f t="shared" si="7"/>
        <v>22635524</v>
      </c>
      <c r="E47" s="13">
        <f>VLOOKUP(A47,'LOCCS Import'!A$19:N$200,4,)</f>
        <v>4678565</v>
      </c>
      <c r="F47" s="13">
        <f>VLOOKUP(A47,'LOCCS Import'!A$19:N$200,5,)</f>
        <v>7440366</v>
      </c>
      <c r="G47" s="14">
        <f>VLOOKUP(A47,'LOCCS Import'!A$19:N$200,6,)</f>
        <v>3.04</v>
      </c>
      <c r="H47" s="14">
        <f>VLOOKUP(A47,'LOCCS Import'!A$19:N$200,7,)</f>
        <v>0.63</v>
      </c>
      <c r="I47" s="13">
        <f t="shared" si="8"/>
        <v>389880.41666666669</v>
      </c>
      <c r="J47" s="15">
        <f t="shared" si="9"/>
        <v>7</v>
      </c>
      <c r="K47" s="13">
        <f t="shared" si="10"/>
        <v>19906361.083333332</v>
      </c>
      <c r="L47" s="13">
        <f t="shared" si="11"/>
        <v>1107827.4285714286</v>
      </c>
      <c r="M47" s="13">
        <f t="shared" si="12"/>
        <v>576372.71428571432</v>
      </c>
      <c r="N47" s="197">
        <v>43647</v>
      </c>
      <c r="O47" s="16">
        <f t="shared" si="13"/>
        <v>46204</v>
      </c>
      <c r="P47" s="13">
        <f ca="1">ROUND(C47-(VLOOKUP(A47,INDIRECT('LOCCS Import'!$E$3&amp;"$A$3"):INDIRECT('LOCCS Import'!$E$3&amp;"$O$54"),3,)),2)</f>
        <v>138927</v>
      </c>
      <c r="Q47" s="242" t="e">
        <f>#VALUE!</f>
        <v>#VALUE!</v>
      </c>
    </row>
    <row r="48" spans="1:17" x14ac:dyDescent="0.2">
      <c r="A48" s="4" t="s">
        <v>60</v>
      </c>
      <c r="B48" s="13">
        <f>VLOOKUP(A48,'LOCCS Import'!A$19:N$200,2,)</f>
        <v>832991634</v>
      </c>
      <c r="C48" s="13">
        <f>VLOOKUP(A48,'LOCCS Import'!A$19:N$200,3,)</f>
        <v>742413768.75999999</v>
      </c>
      <c r="D48" s="13">
        <f t="shared" si="7"/>
        <v>90577865.24000001</v>
      </c>
      <c r="E48" s="13">
        <f>VLOOKUP(A48,'LOCCS Import'!A$19:N$200,4,)</f>
        <v>14077994.68</v>
      </c>
      <c r="F48" s="13">
        <f>VLOOKUP(A48,'LOCCS Import'!A$19:N$200,5,)</f>
        <v>19318411</v>
      </c>
      <c r="G48" s="14">
        <f>VLOOKUP(A48,'LOCCS Import'!A$19:N$200,6,)</f>
        <v>4.6900000000000004</v>
      </c>
      <c r="H48" s="14">
        <f>VLOOKUP(A48,'LOCCS Import'!A$19:N$200,7,)</f>
        <v>0.73</v>
      </c>
      <c r="I48" s="13">
        <f t="shared" si="8"/>
        <v>1173166.2233333334</v>
      </c>
      <c r="J48" s="15">
        <f t="shared" si="9"/>
        <v>7</v>
      </c>
      <c r="K48" s="13">
        <f t="shared" si="10"/>
        <v>82365701.676666677</v>
      </c>
      <c r="L48" s="13">
        <f t="shared" si="11"/>
        <v>7420149.0342857158</v>
      </c>
      <c r="M48" s="13">
        <f t="shared" si="12"/>
        <v>6040262.5342857158</v>
      </c>
      <c r="N48" s="197">
        <v>43647</v>
      </c>
      <c r="O48" s="16">
        <f t="shared" si="13"/>
        <v>46204</v>
      </c>
      <c r="P48" s="13">
        <f ca="1">ROUND(C48-(VLOOKUP(A48,INDIRECT('LOCCS Import'!$E$3&amp;"$A$3"):INDIRECT('LOCCS Import'!$E$3&amp;"$O$54"),3,)),2)</f>
        <v>1360781.22</v>
      </c>
      <c r="Q48" s="242" t="e">
        <f>#VALUE!</f>
        <v>#VALUE!</v>
      </c>
    </row>
    <row r="49" spans="1:17" x14ac:dyDescent="0.2">
      <c r="A49" s="4" t="s">
        <v>61</v>
      </c>
      <c r="B49" s="13">
        <f>VLOOKUP(A49,'LOCCS Import'!A$19:N$200,2,)</f>
        <v>548221203</v>
      </c>
      <c r="C49" s="13">
        <f>VLOOKUP(A49,'LOCCS Import'!A$19:N$200,3,)</f>
        <v>507279852.02999997</v>
      </c>
      <c r="D49" s="13">
        <f t="shared" si="7"/>
        <v>40941350.970000029</v>
      </c>
      <c r="E49" s="13">
        <f>VLOOKUP(A49,'LOCCS Import'!A$19:N$200,4,)</f>
        <v>13277720.5</v>
      </c>
      <c r="F49" s="13">
        <f>VLOOKUP(A49,'LOCCS Import'!A$19:N$200,5,)</f>
        <v>13072724</v>
      </c>
      <c r="G49" s="14">
        <f>VLOOKUP(A49,'LOCCS Import'!A$19:N$200,6,)</f>
        <v>3.13</v>
      </c>
      <c r="H49" s="14">
        <f>VLOOKUP(A49,'LOCCS Import'!A$19:N$200,7,)</f>
        <v>1.02</v>
      </c>
      <c r="I49" s="13">
        <f t="shared" si="8"/>
        <v>1106476.7083333333</v>
      </c>
      <c r="J49" s="15">
        <f t="shared" si="9"/>
        <v>7</v>
      </c>
      <c r="K49" s="13">
        <f t="shared" si="10"/>
        <v>33196014.011666697</v>
      </c>
      <c r="L49" s="13">
        <f t="shared" si="11"/>
        <v>2113700.4242857182</v>
      </c>
      <c r="M49" s="13">
        <f t="shared" si="12"/>
        <v>1179934.4242857185</v>
      </c>
      <c r="N49" s="197">
        <v>43647</v>
      </c>
      <c r="O49" s="16">
        <f t="shared" si="13"/>
        <v>46204</v>
      </c>
      <c r="P49" s="13">
        <f ca="1">ROUND(C49-(VLOOKUP(A49,INDIRECT('LOCCS Import'!$E$3&amp;"$A$3"):INDIRECT('LOCCS Import'!$E$3&amp;"$O$54"),3,)),2)</f>
        <v>1348880.63</v>
      </c>
      <c r="Q49" s="242" t="e">
        <f>#VALUE!</f>
        <v>#VALUE!</v>
      </c>
    </row>
    <row r="50" spans="1:17" x14ac:dyDescent="0.2">
      <c r="A50" s="4" t="s">
        <v>62</v>
      </c>
      <c r="B50" s="13">
        <f>VLOOKUP(A50,'LOCCS Import'!A$19:N$200,2,)</f>
        <v>736219977.32000005</v>
      </c>
      <c r="C50" s="13">
        <f>VLOOKUP(A50,'LOCCS Import'!A$19:N$200,3,)</f>
        <v>655795672.37</v>
      </c>
      <c r="D50" s="13">
        <f t="shared" si="7"/>
        <v>80424304.950000048</v>
      </c>
      <c r="E50" s="13">
        <f>VLOOKUP(A50,'LOCCS Import'!A$19:N$200,4,)</f>
        <v>14043201.439999999</v>
      </c>
      <c r="F50" s="13">
        <f>VLOOKUP(A50,'LOCCS Import'!A$19:N$200,5,)</f>
        <v>13740593</v>
      </c>
      <c r="G50" s="14">
        <f>VLOOKUP(A50,'LOCCS Import'!A$19:N$200,6,)</f>
        <v>5.85</v>
      </c>
      <c r="H50" s="14">
        <f>VLOOKUP(A50,'LOCCS Import'!A$19:N$200,7,)</f>
        <v>1.02</v>
      </c>
      <c r="I50" s="13">
        <f t="shared" si="8"/>
        <v>1170266.7866666666</v>
      </c>
      <c r="J50" s="15">
        <f t="shared" si="9"/>
        <v>7</v>
      </c>
      <c r="K50" s="13">
        <f t="shared" si="10"/>
        <v>72232437.443333387</v>
      </c>
      <c r="L50" s="13">
        <f t="shared" si="11"/>
        <v>7563302.7071428644</v>
      </c>
      <c r="M50" s="13">
        <f t="shared" si="12"/>
        <v>6581831.7785714353</v>
      </c>
      <c r="N50" s="197">
        <v>43647</v>
      </c>
      <c r="O50" s="16">
        <f t="shared" si="13"/>
        <v>46204</v>
      </c>
      <c r="P50" s="13">
        <f ca="1">ROUND(C50-(VLOOKUP(A50,INDIRECT('LOCCS Import'!$E$3&amp;"$A$3"):INDIRECT('LOCCS Import'!$E$3&amp;"$O$54"),3,)),2)</f>
        <v>2166534.14</v>
      </c>
      <c r="Q50" s="242" t="e">
        <f>#VALUE!</f>
        <v>#VALUE!</v>
      </c>
    </row>
    <row r="51" spans="1:17" x14ac:dyDescent="0.2">
      <c r="A51" s="4" t="s">
        <v>63</v>
      </c>
      <c r="B51" s="13">
        <f>VLOOKUP(A51,'LOCCS Import'!A$19:N$200,2,)</f>
        <v>1137808483</v>
      </c>
      <c r="C51" s="13">
        <f>VLOOKUP(A51,'LOCCS Import'!A$19:N$200,3,)</f>
        <v>1063640518.6</v>
      </c>
      <c r="D51" s="13">
        <f t="shared" si="7"/>
        <v>74167964.399999976</v>
      </c>
      <c r="E51" s="13">
        <f>VLOOKUP(A51,'LOCCS Import'!A$19:N$200,4,)</f>
        <v>21836975.329999998</v>
      </c>
      <c r="F51" s="13">
        <f>VLOOKUP(A51,'LOCCS Import'!A$19:N$200,5,)</f>
        <v>27381698</v>
      </c>
      <c r="G51" s="14">
        <f>VLOOKUP(A51,'LOCCS Import'!A$19:N$200,6,)</f>
        <v>2.71</v>
      </c>
      <c r="H51" s="14">
        <f>VLOOKUP(A51,'LOCCS Import'!A$19:N$200,7,)</f>
        <v>0.8</v>
      </c>
      <c r="I51" s="13">
        <f t="shared" si="8"/>
        <v>1819747.9441666666</v>
      </c>
      <c r="J51" s="15">
        <f t="shared" si="9"/>
        <v>4</v>
      </c>
      <c r="K51" s="13">
        <f t="shared" si="10"/>
        <v>66888972.623333313</v>
      </c>
      <c r="L51" s="13">
        <f t="shared" si="11"/>
        <v>4851142.099999994</v>
      </c>
      <c r="M51" s="13" t="str">
        <f t="shared" si="12"/>
        <v>on track</v>
      </c>
      <c r="N51" s="197">
        <v>43922</v>
      </c>
      <c r="O51" s="16">
        <f t="shared" si="13"/>
        <v>46113</v>
      </c>
      <c r="P51" s="13">
        <f ca="1">ROUND(C51-(VLOOKUP(A51,INDIRECT('LOCCS Import'!$E$3&amp;"$A$3"):INDIRECT('LOCCS Import'!$E$3&amp;"$O$54"),3,)),2)</f>
        <v>977918.68</v>
      </c>
      <c r="Q51" s="242" t="e">
        <f>#VALUE!</f>
        <v>#VALUE!</v>
      </c>
    </row>
    <row r="52" spans="1:17" x14ac:dyDescent="0.2">
      <c r="A52" s="4" t="s">
        <v>64</v>
      </c>
      <c r="B52" s="13">
        <f>VLOOKUP(A52,'LOCCS Import'!A$19:N$200,2,)</f>
        <v>124445693.39</v>
      </c>
      <c r="C52" s="13">
        <f>VLOOKUP(A52,'LOCCS Import'!A$19:N$200,3,)</f>
        <v>111932621.37</v>
      </c>
      <c r="D52" s="18">
        <f t="shared" si="7"/>
        <v>12513072.019999996</v>
      </c>
      <c r="E52" s="13">
        <f>VLOOKUP(A52,'LOCCS Import'!A$19:N$200,4,)</f>
        <v>5976251.7800000003</v>
      </c>
      <c r="F52" s="13">
        <f>VLOOKUP(A52,'LOCCS Import'!A$19:N$200,5,)</f>
        <v>3545933</v>
      </c>
      <c r="G52" s="14">
        <f>VLOOKUP(A52,'LOCCS Import'!A$19:N$200,6,)</f>
        <v>3.53</v>
      </c>
      <c r="H52" s="14">
        <f>VLOOKUP(A52,'LOCCS Import'!A$19:N$200,7,)</f>
        <v>1.69</v>
      </c>
      <c r="I52" s="18">
        <f t="shared" si="8"/>
        <v>498020.98166666669</v>
      </c>
      <c r="J52" s="15">
        <f t="shared" si="9"/>
        <v>1</v>
      </c>
      <c r="K52" s="18">
        <f t="shared" si="10"/>
        <v>12015051.038333328</v>
      </c>
      <c r="L52" s="18">
        <f t="shared" si="11"/>
        <v>5421206.0199999958</v>
      </c>
      <c r="M52" s="18">
        <f t="shared" si="12"/>
        <v>3648239.5199999958</v>
      </c>
      <c r="N52" s="198">
        <v>43831</v>
      </c>
      <c r="O52" s="16">
        <f t="shared" si="13"/>
        <v>46023</v>
      </c>
      <c r="P52" s="13">
        <f ca="1">ROUND(C52-(VLOOKUP(A52,INDIRECT('LOCCS Import'!$E$3&amp;"$A$3"):INDIRECT('LOCCS Import'!$E$3&amp;"$O$54"),3,)),2)</f>
        <v>197345.53</v>
      </c>
      <c r="Q52" s="242" t="e">
        <f>#VALUE!</f>
        <v>#VALUE!</v>
      </c>
    </row>
    <row r="53" spans="1:17" x14ac:dyDescent="0.25">
      <c r="A53" s="36" t="s">
        <v>65</v>
      </c>
      <c r="B53" s="33">
        <f>VLOOKUP(A53,'LOCCS Import'!A$19:N$200,2,)</f>
        <v>44484767226.400002</v>
      </c>
      <c r="C53" s="13">
        <f>VLOOKUP(A53,'LOCCS Import'!A$19:N$200,3,)</f>
        <v>41271730007.389999</v>
      </c>
      <c r="D53" s="33">
        <f t="shared" si="7"/>
        <v>3213037219.0100021</v>
      </c>
      <c r="E53" s="13">
        <f>VLOOKUP(A53,'LOCCS Import'!A$19:N$200,4,)</f>
        <v>958281581.30999994</v>
      </c>
      <c r="F53" s="13">
        <f>VLOOKUP(A53,'LOCCS Import'!A$19:N$200,5,)</f>
        <v>984102596</v>
      </c>
      <c r="G53" s="14">
        <f>VLOOKUP(A53,'LOCCS Import'!A$19:N$200,6,)</f>
        <v>3.26</v>
      </c>
      <c r="H53" s="14">
        <f>VLOOKUP(A53,'LOCCS Import'!A$19:N$200,7,)</f>
        <v>0.97</v>
      </c>
      <c r="I53" s="33">
        <f t="shared" si="8"/>
        <v>79856798.442499995</v>
      </c>
      <c r="J53" s="34"/>
      <c r="K53" s="35"/>
      <c r="L53" s="35"/>
      <c r="M53" s="35"/>
      <c r="N53" s="35"/>
      <c r="O53" s="35"/>
      <c r="P53" s="33">
        <f ca="1">SUM(P3:P52)</f>
        <v>85040914.800000012</v>
      </c>
    </row>
    <row r="54" spans="1:17" x14ac:dyDescent="0.25">
      <c r="A54" s="19"/>
      <c r="B54" s="20"/>
      <c r="C54" s="20"/>
      <c r="D54" s="20"/>
      <c r="E54" s="20"/>
      <c r="F54" s="20"/>
      <c r="G54" s="30"/>
      <c r="H54" s="30"/>
      <c r="I54" s="20"/>
      <c r="J54" s="31"/>
      <c r="K54" s="32"/>
      <c r="L54" s="32"/>
      <c r="M54" s="32"/>
      <c r="N54" s="32"/>
      <c r="O54" s="32"/>
      <c r="P54" s="32"/>
    </row>
    <row r="55" spans="1:17" ht="13" thickBot="1" x14ac:dyDescent="0.3">
      <c r="B55" s="22"/>
      <c r="C55" s="22"/>
      <c r="D55" s="22"/>
      <c r="E55" s="22"/>
      <c r="F55" s="22"/>
      <c r="G55" s="21"/>
      <c r="H55" s="21"/>
      <c r="K55" s="17"/>
      <c r="L55" s="17"/>
      <c r="M55" s="17"/>
      <c r="N55" s="17"/>
      <c r="P55" s="17"/>
    </row>
    <row r="56" spans="1:17" ht="27" customHeight="1" thickTop="1" x14ac:dyDescent="0.25">
      <c r="D56" s="246" t="s">
        <v>66</v>
      </c>
      <c r="E56" s="247"/>
      <c r="F56" s="247"/>
      <c r="G56" s="24">
        <f>COUNTIF(G3:G52,"&gt;2.5")</f>
        <v>37</v>
      </c>
      <c r="H56" s="25"/>
    </row>
    <row r="57" spans="1:17" ht="27" customHeight="1" thickBot="1" x14ac:dyDescent="0.3">
      <c r="D57" s="248" t="s">
        <v>67</v>
      </c>
      <c r="E57" s="249"/>
      <c r="F57" s="249"/>
      <c r="G57" s="27"/>
      <c r="H57" s="28">
        <f>COUNTIF(H3:H52,"&lt;1")</f>
        <v>30</v>
      </c>
    </row>
  </sheetData>
  <mergeCells count="2">
    <mergeCell ref="D56:F56"/>
    <mergeCell ref="D57:F57"/>
  </mergeCells>
  <conditionalFormatting sqref="G54">
    <cfRule type="cellIs" dxfId="15" priority="13" stopIfTrue="1" operator="greaterThan">
      <formula>2.5</formula>
    </cfRule>
    <cfRule type="cellIs" dxfId="14" priority="14" stopIfTrue="1" operator="between">
      <formula>2.01</formula>
      <formula>2.5</formula>
    </cfRule>
  </conditionalFormatting>
  <conditionalFormatting sqref="H3:H53">
    <cfRule type="cellIs" dxfId="13" priority="12" stopIfTrue="1" operator="lessThan">
      <formula>1</formula>
    </cfRule>
  </conditionalFormatting>
  <conditionalFormatting sqref="G3:G53">
    <cfRule type="cellIs" dxfId="12" priority="10" stopIfTrue="1" operator="greaterThan">
      <formula>2.5</formula>
    </cfRule>
    <cfRule type="cellIs" dxfId="11" priority="11" stopIfTrue="1" operator="between">
      <formula>2.01</formula>
      <formula>2.5</formula>
    </cfRule>
  </conditionalFormatting>
  <conditionalFormatting sqref="K3:K52">
    <cfRule type="cellIs" dxfId="10" priority="8" stopIfTrue="1" operator="greaterThan">
      <formula>$F3*2.5</formula>
    </cfRule>
    <cfRule type="cellIs" dxfId="9" priority="9" stopIfTrue="1" operator="between">
      <formula>$F3*2</formula>
      <formula>$F3*2.5</formula>
    </cfRule>
  </conditionalFormatting>
  <conditionalFormatting sqref="G54">
    <cfRule type="cellIs" dxfId="8" priority="6" stopIfTrue="1" operator="greaterThan">
      <formula>2.5</formula>
    </cfRule>
    <cfRule type="cellIs" dxfId="7" priority="7" stopIfTrue="1" operator="between">
      <formula>2.01</formula>
      <formula>2.5</formula>
    </cfRule>
  </conditionalFormatting>
  <conditionalFormatting sqref="H3:H53">
    <cfRule type="cellIs" dxfId="6" priority="5" stopIfTrue="1" operator="lessThan">
      <formula>1</formula>
    </cfRule>
  </conditionalFormatting>
  <conditionalFormatting sqref="G3:G53">
    <cfRule type="cellIs" dxfId="5" priority="3" stopIfTrue="1" operator="greaterThan">
      <formula>2.5</formula>
    </cfRule>
    <cfRule type="cellIs" dxfId="4" priority="4" stopIfTrue="1" operator="between">
      <formula>2.01</formula>
      <formula>2.5</formula>
    </cfRule>
  </conditionalFormatting>
  <conditionalFormatting sqref="K3:K52">
    <cfRule type="cellIs" dxfId="3" priority="1" stopIfTrue="1" operator="greaterThan">
      <formula>$F3*2.5</formula>
    </cfRule>
    <cfRule type="cellIs" dxfId="2" priority="2" stopIfTrue="1" operator="between">
      <formula>$F3*2</formula>
      <formula>$F3*2.5</formula>
    </cfRule>
  </conditionalFormatting>
  <pageMargins left="0.75" right="0.75" top="1" bottom="0.75" header="0" footer="0"/>
  <pageSetup scale="74" orientation="portrait" horizontalDpi="4294949522" verticalDpi="18" r:id="rId1"/>
  <headerFooter alignWithMargins="0">
    <oddHeader>&amp;LA67CAAA
&amp;A&amp;CU.S. Department of Housing and Urban Development
Line of Credit Control System (LOCCS)
State Allocation of Expenditure Report for CPD Block Grant Programs
State Rankings</oddHeader>
  </headerFooter>
  <legacy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84ACA-9AFF-4BCD-AD87-78EFB31FFE61}">
  <sheetPr>
    <tabColor theme="1" tint="4.9989318521683403E-2"/>
  </sheetPr>
  <dimension ref="A1:DA81"/>
  <sheetViews>
    <sheetView topLeftCell="A5" zoomScale="85" zoomScaleNormal="85" workbookViewId="0">
      <selection activeCell="K34" sqref="K34"/>
    </sheetView>
  </sheetViews>
  <sheetFormatPr defaultRowHeight="12.5" x14ac:dyDescent="0.25"/>
  <cols>
    <col min="1" max="1" width="10.54296875" customWidth="1"/>
    <col min="2" max="3" width="20.1796875" customWidth="1"/>
    <col min="4" max="4" width="24" customWidth="1"/>
    <col min="5" max="5" width="17.26953125" bestFit="1" customWidth="1"/>
    <col min="6" max="6" width="11.1796875" customWidth="1"/>
    <col min="7" max="7" width="16.453125" bestFit="1" customWidth="1"/>
    <col min="8" max="8" width="8.453125" customWidth="1"/>
    <col min="9" max="9" width="12.453125" customWidth="1"/>
    <col min="10" max="16" width="7.54296875" customWidth="1"/>
    <col min="17" max="18" width="7.81640625" customWidth="1"/>
    <col min="19" max="20" width="9.81640625" customWidth="1"/>
    <col min="21" max="27" width="7.81640625" customWidth="1"/>
    <col min="28" max="55" width="6.26953125" customWidth="1"/>
  </cols>
  <sheetData>
    <row r="1" spans="2:105" s="29" customFormat="1" ht="14.5" x14ac:dyDescent="0.35">
      <c r="B1" s="37" t="s">
        <v>159</v>
      </c>
      <c r="C1" s="206" t="str">
        <f>RIGHT(CONCATENATE(A20,B20),10)</f>
        <v>09/30/2026</v>
      </c>
      <c r="D1" s="37" t="s">
        <v>167</v>
      </c>
      <c r="E1" s="44" t="str">
        <f>TEXT($C$3,"'mmm''yy'!")</f>
        <v>'Sep''26'!</v>
      </c>
      <c r="F1" s="44" t="str">
        <f>TEXT($C$3,"mmm'yy")</f>
        <v>Sep'26</v>
      </c>
      <c r="O1" s="46"/>
    </row>
    <row r="2" spans="2:105" s="29" customFormat="1" ht="14.5" x14ac:dyDescent="0.35">
      <c r="B2" s="37"/>
      <c r="D2" s="37"/>
      <c r="E2" s="45">
        <v>2</v>
      </c>
      <c r="F2" s="45">
        <v>3</v>
      </c>
      <c r="G2" s="45">
        <v>4</v>
      </c>
      <c r="H2" s="45">
        <v>5</v>
      </c>
      <c r="I2" s="45">
        <v>6</v>
      </c>
      <c r="J2" s="45">
        <v>7</v>
      </c>
      <c r="K2" s="45">
        <v>8</v>
      </c>
      <c r="L2" s="45">
        <v>9</v>
      </c>
      <c r="M2" s="45">
        <v>10</v>
      </c>
      <c r="N2" s="45">
        <v>11</v>
      </c>
      <c r="O2" s="45">
        <v>12</v>
      </c>
      <c r="P2" s="45">
        <v>13</v>
      </c>
      <c r="Q2" s="45">
        <v>14</v>
      </c>
      <c r="R2" s="45">
        <v>15</v>
      </c>
      <c r="S2" s="45">
        <v>16</v>
      </c>
      <c r="T2" s="45">
        <v>17</v>
      </c>
      <c r="U2" s="45">
        <v>18</v>
      </c>
      <c r="V2" s="45">
        <v>19</v>
      </c>
      <c r="W2" s="45">
        <v>20</v>
      </c>
      <c r="X2" s="45">
        <v>21</v>
      </c>
      <c r="Y2" s="45">
        <v>22</v>
      </c>
      <c r="Z2" s="45">
        <v>23</v>
      </c>
      <c r="AA2" s="45">
        <v>24</v>
      </c>
      <c r="BD2" s="29" t="s">
        <v>82</v>
      </c>
      <c r="BE2" s="29" t="s">
        <v>83</v>
      </c>
      <c r="BF2" s="29" t="s">
        <v>84</v>
      </c>
      <c r="BG2" s="29" t="s">
        <v>85</v>
      </c>
      <c r="BH2" s="29" t="s">
        <v>86</v>
      </c>
      <c r="BI2" s="29" t="s">
        <v>87</v>
      </c>
      <c r="BJ2" s="29" t="s">
        <v>88</v>
      </c>
      <c r="BK2" s="29" t="s">
        <v>89</v>
      </c>
      <c r="BL2" s="29" t="s">
        <v>90</v>
      </c>
      <c r="BM2" s="29" t="s">
        <v>91</v>
      </c>
      <c r="BN2" s="29" t="s">
        <v>92</v>
      </c>
      <c r="BO2" s="29" t="s">
        <v>93</v>
      </c>
      <c r="BP2" s="29" t="s">
        <v>94</v>
      </c>
      <c r="BQ2" s="29" t="s">
        <v>95</v>
      </c>
      <c r="BR2" s="29" t="s">
        <v>96</v>
      </c>
      <c r="BS2" s="29" t="s">
        <v>97</v>
      </c>
      <c r="BT2" s="29" t="s">
        <v>98</v>
      </c>
      <c r="BU2" s="29" t="s">
        <v>99</v>
      </c>
      <c r="BV2" s="29" t="s">
        <v>100</v>
      </c>
      <c r="BW2" s="29" t="s">
        <v>101</v>
      </c>
      <c r="BX2" s="29" t="s">
        <v>102</v>
      </c>
      <c r="BY2" s="29" t="s">
        <v>103</v>
      </c>
      <c r="BZ2" s="29" t="s">
        <v>104</v>
      </c>
      <c r="CA2" s="29" t="s">
        <v>105</v>
      </c>
      <c r="CB2" s="29" t="s">
        <v>106</v>
      </c>
      <c r="CC2" s="29" t="s">
        <v>107</v>
      </c>
      <c r="CD2" s="29" t="s">
        <v>77</v>
      </c>
      <c r="CE2" s="29" t="s">
        <v>108</v>
      </c>
      <c r="CF2" s="29" t="s">
        <v>109</v>
      </c>
      <c r="CG2" s="29" t="s">
        <v>110</v>
      </c>
      <c r="CH2" s="29" t="s">
        <v>111</v>
      </c>
      <c r="CI2" s="29" t="s">
        <v>112</v>
      </c>
      <c r="CJ2" s="29" t="s">
        <v>113</v>
      </c>
      <c r="CK2" s="29" t="s">
        <v>114</v>
      </c>
      <c r="CL2" s="29" t="s">
        <v>115</v>
      </c>
      <c r="CM2" s="29" t="s">
        <v>116</v>
      </c>
      <c r="CN2" s="29" t="s">
        <v>117</v>
      </c>
      <c r="CO2" s="29" t="s">
        <v>118</v>
      </c>
      <c r="CP2" s="29" t="s">
        <v>119</v>
      </c>
      <c r="CQ2" s="29" t="s">
        <v>120</v>
      </c>
      <c r="CR2" s="29" t="s">
        <v>121</v>
      </c>
      <c r="CS2" s="29" t="s">
        <v>122</v>
      </c>
      <c r="CT2" s="29" t="s">
        <v>123</v>
      </c>
      <c r="CU2" s="29" t="s">
        <v>124</v>
      </c>
      <c r="CV2" s="29" t="s">
        <v>125</v>
      </c>
      <c r="CW2" s="29" t="s">
        <v>126</v>
      </c>
      <c r="CX2" s="29" t="s">
        <v>127</v>
      </c>
      <c r="CY2" s="29" t="s">
        <v>128</v>
      </c>
      <c r="CZ2" s="29" t="s">
        <v>129</v>
      </c>
      <c r="DA2" s="29" t="s">
        <v>130</v>
      </c>
    </row>
    <row r="3" spans="2:105" s="29" customFormat="1" ht="14.5" x14ac:dyDescent="0.35">
      <c r="B3" s="37" t="s">
        <v>135</v>
      </c>
      <c r="C3" s="206" t="str">
        <f>RIGHT(CONCATENATE(A21,B21),10)</f>
        <v>09/30/2026</v>
      </c>
      <c r="D3" s="37" t="s">
        <v>169</v>
      </c>
      <c r="E3" s="44" t="str">
        <f>TEXT(($C$3-32),"'mmm''yy'!")</f>
        <v>'Aug''26'!</v>
      </c>
      <c r="F3" s="44" t="str">
        <f>TEXT(($C$3-64),"'mmm''yy'!")</f>
        <v>'Jul''26'!</v>
      </c>
      <c r="G3" s="44" t="str">
        <f>TEXT(($C$3-96),"'mmm''yy'!")</f>
        <v>'Jun''26'!</v>
      </c>
      <c r="H3" s="44" t="str">
        <f>TEXT(($C$3-128),"'mmm''yy'!")</f>
        <v>'May''26'!</v>
      </c>
      <c r="I3" s="44" t="str">
        <f>TEXT(($C$3-160),"'mmm''yy'!")</f>
        <v>'Apr''26'!</v>
      </c>
      <c r="J3" s="44" t="str">
        <f>TEXT(($C$3-192),"'mmm''yy'!")</f>
        <v>'Mar''26'!</v>
      </c>
      <c r="K3" s="44" t="str">
        <f>TEXT(($C$3-224),"'mmm''yy'!")</f>
        <v>'Feb''26'!</v>
      </c>
      <c r="L3" s="44" t="str">
        <f>TEXT(($C$3-256),"'mmm''yy'!")</f>
        <v>'Jan''26'!</v>
      </c>
      <c r="M3" s="44" t="str">
        <f>TEXT(($C$3-288),"'mmm''yy'!")</f>
        <v>'Dec''25'!</v>
      </c>
      <c r="N3" s="44" t="str">
        <f>TEXT(($C$3-320),"'mmm''yy'!")</f>
        <v>'Nov''25'!</v>
      </c>
      <c r="O3" s="44" t="str">
        <f>TEXT(($C$3-352),"'mmm''yy'!")</f>
        <v>'Oct''25'!</v>
      </c>
      <c r="P3" s="44" t="str">
        <f>TEXT(($C$3-383),"'mmm''yy'!")</f>
        <v>'Sep''25'!</v>
      </c>
      <c r="Q3" s="44" t="str">
        <f>TEXT(($C$3-414),"'mmm''yy'!")</f>
        <v>'Aug''25'!</v>
      </c>
      <c r="R3" s="44" t="str">
        <f>TEXT(($C$3-445),"'mmm''yy'!")</f>
        <v>'Jul''25'!</v>
      </c>
      <c r="S3" s="44" t="str">
        <f>TEXT(($C$3-476),"'mmm''yy'!")</f>
        <v>'Jun''25'!</v>
      </c>
      <c r="T3" s="44" t="str">
        <f>TEXT(($C$3-507),"'mmm''yy'!")</f>
        <v>'May''25'!</v>
      </c>
      <c r="U3" s="44" t="str">
        <f>TEXT(($C$3-538),"'mmm''yy'!")</f>
        <v>'Apr''25'!</v>
      </c>
      <c r="V3" s="44" t="str">
        <f>TEXT(($C$3-569),"'mmm''yy'!")</f>
        <v>'Mar''25'!</v>
      </c>
      <c r="W3" s="44" t="str">
        <f>TEXT(($C$3-600),"'mmm''yy'!")</f>
        <v>'Feb''25'!</v>
      </c>
      <c r="X3" s="44" t="str">
        <f>TEXT(($C$3-631),"'mmm''yy'!")</f>
        <v>'Jan''25'!</v>
      </c>
      <c r="Y3" s="44" t="str">
        <f>TEXT(($C$3-662),"'mmm''yy'!")</f>
        <v>'Dec''24'!</v>
      </c>
      <c r="Z3" s="44" t="str">
        <f>TEXT(($C$3-693),"'mmm''yy'!")</f>
        <v>'Nov''24'!</v>
      </c>
      <c r="AA3" s="44" t="str">
        <f>TEXT(($C$3-724),"'mmm''yy'!")</f>
        <v>'Oct''24'!</v>
      </c>
      <c r="BD3" s="176" t="s">
        <v>15</v>
      </c>
      <c r="BE3" s="176" t="s">
        <v>16</v>
      </c>
      <c r="BF3" s="176" t="s">
        <v>17</v>
      </c>
      <c r="BG3" s="176" t="s">
        <v>18</v>
      </c>
      <c r="BH3" s="176" t="s">
        <v>19</v>
      </c>
      <c r="BI3" s="176" t="s">
        <v>20</v>
      </c>
      <c r="BJ3" s="176" t="s">
        <v>21</v>
      </c>
      <c r="BK3" s="176" t="s">
        <v>22</v>
      </c>
      <c r="BL3" s="176" t="s">
        <v>23</v>
      </c>
      <c r="BM3" s="176" t="s">
        <v>24</v>
      </c>
      <c r="BN3" s="176" t="s">
        <v>25</v>
      </c>
      <c r="BO3" s="176" t="s">
        <v>26</v>
      </c>
      <c r="BP3" s="176" t="s">
        <v>27</v>
      </c>
      <c r="BQ3" s="176" t="s">
        <v>28</v>
      </c>
      <c r="BR3" s="176" t="s">
        <v>29</v>
      </c>
      <c r="BS3" s="176" t="s">
        <v>30</v>
      </c>
      <c r="BT3" s="176" t="s">
        <v>31</v>
      </c>
      <c r="BU3" s="176" t="s">
        <v>32</v>
      </c>
      <c r="BV3" s="176" t="s">
        <v>33</v>
      </c>
      <c r="BW3" s="176" t="s">
        <v>34</v>
      </c>
      <c r="BX3" s="176" t="s">
        <v>35</v>
      </c>
      <c r="BY3" s="176" t="s">
        <v>36</v>
      </c>
      <c r="BZ3" s="176" t="s">
        <v>37</v>
      </c>
      <c r="CA3" s="176" t="s">
        <v>38</v>
      </c>
      <c r="CB3" s="176" t="s">
        <v>39</v>
      </c>
      <c r="CC3" s="176" t="s">
        <v>40</v>
      </c>
      <c r="CD3" s="176" t="s">
        <v>41</v>
      </c>
      <c r="CE3" s="176" t="s">
        <v>42</v>
      </c>
      <c r="CF3" s="176" t="s">
        <v>43</v>
      </c>
      <c r="CG3" s="176" t="s">
        <v>44</v>
      </c>
      <c r="CH3" s="176" t="s">
        <v>45</v>
      </c>
      <c r="CI3" s="176" t="s">
        <v>46</v>
      </c>
      <c r="CJ3" s="176" t="s">
        <v>47</v>
      </c>
      <c r="CK3" s="176" t="s">
        <v>48</v>
      </c>
      <c r="CL3" s="176" t="s">
        <v>49</v>
      </c>
      <c r="CM3" s="176" t="s">
        <v>50</v>
      </c>
      <c r="CN3" s="176" t="s">
        <v>51</v>
      </c>
      <c r="CO3" s="176" t="s">
        <v>52</v>
      </c>
      <c r="CP3" s="176" t="s">
        <v>53</v>
      </c>
      <c r="CQ3" s="176" t="s">
        <v>54</v>
      </c>
      <c r="CR3" s="176" t="s">
        <v>55</v>
      </c>
      <c r="CS3" s="176" t="s">
        <v>56</v>
      </c>
      <c r="CT3" s="176" t="s">
        <v>57</v>
      </c>
      <c r="CU3" s="176" t="s">
        <v>58</v>
      </c>
      <c r="CV3" s="176" t="s">
        <v>59</v>
      </c>
      <c r="CW3" s="176" t="s">
        <v>60</v>
      </c>
      <c r="CX3" s="176" t="s">
        <v>61</v>
      </c>
      <c r="CY3" s="176" t="s">
        <v>62</v>
      </c>
      <c r="CZ3" s="176" t="s">
        <v>63</v>
      </c>
      <c r="DA3" s="176" t="s">
        <v>64</v>
      </c>
    </row>
    <row r="4" spans="2:105" s="29" customFormat="1" ht="14.5" x14ac:dyDescent="0.35">
      <c r="C4" s="207" t="s">
        <v>195</v>
      </c>
      <c r="E4" s="44" t="str">
        <f>TEXT(($C$3-32),"mmm'yy")</f>
        <v>Aug'26</v>
      </c>
      <c r="F4" s="44" t="str">
        <f>TEXT(($C$3-64),"mmm'yy")</f>
        <v>Jul'26</v>
      </c>
      <c r="G4" s="44" t="str">
        <f>TEXT(($C$3-96),"mmm'yy")</f>
        <v>Jun'26</v>
      </c>
      <c r="H4" s="44" t="str">
        <f>TEXT(($C$3-128),"mmm'yy")</f>
        <v>May'26</v>
      </c>
      <c r="I4" s="44" t="str">
        <f>TEXT(($C$3-160),"mmm'yy")</f>
        <v>Apr'26</v>
      </c>
      <c r="J4" s="44" t="str">
        <f>TEXT(($C$3-192),"mmm'yy")</f>
        <v>Mar'26</v>
      </c>
      <c r="K4" s="44" t="str">
        <f>TEXT(($C$3-224),"mmm'yy")</f>
        <v>Feb'26</v>
      </c>
      <c r="L4" s="44" t="str">
        <f>TEXT(($C$3-256),"mmm'yy")</f>
        <v>Jan'26</v>
      </c>
      <c r="M4" s="44" t="str">
        <f>TEXT(($C$3-288),"mmm'yy")</f>
        <v>Dec'25</v>
      </c>
      <c r="N4" s="44" t="str">
        <f>TEXT(($C$3-320),"mmm'yy")</f>
        <v>Nov'25</v>
      </c>
      <c r="O4" s="44" t="str">
        <f>TEXT(($C$3-352),"mmm'yy")</f>
        <v>Oct'25</v>
      </c>
      <c r="P4" s="44" t="str">
        <f>TEXT(($C$3-383),"mmm'yy")</f>
        <v>Sep'25</v>
      </c>
      <c r="Q4" s="44" t="str">
        <f>TEXT(($C$3-414),"mmm'yy")</f>
        <v>Aug'25</v>
      </c>
      <c r="R4" s="44" t="str">
        <f>TEXT(($C$3-445),"mmm'yy")</f>
        <v>Jul'25</v>
      </c>
      <c r="S4" s="44" t="str">
        <f>TEXT(($C$3-476),"mmm'yy")</f>
        <v>Jun'25</v>
      </c>
      <c r="T4" s="44" t="str">
        <f>TEXT(($C$3-507),"mmm'yy")</f>
        <v>May'25</v>
      </c>
      <c r="U4" s="44" t="str">
        <f>TEXT(($C$3-538),"mmm'yy")</f>
        <v>Apr'25</v>
      </c>
      <c r="V4" s="44" t="str">
        <f>TEXT(($C$3-569),"mmm'yy")</f>
        <v>Mar'25</v>
      </c>
      <c r="W4" s="44" t="str">
        <f>TEXT(($C$3-600),"mmm'yy")</f>
        <v>Feb'25</v>
      </c>
      <c r="X4" s="44" t="str">
        <f>TEXT(($C$3-631),"mmm'yy")</f>
        <v>Jan'25</v>
      </c>
      <c r="Y4" s="44" t="str">
        <f>TEXT(($C$3-662),"mmm'yy")</f>
        <v>Dec'24</v>
      </c>
      <c r="Z4" s="44" t="str">
        <f>TEXT(($C$3-693),"mmm'yy")</f>
        <v>Nov'24</v>
      </c>
      <c r="AA4" s="44" t="str">
        <f>TEXT(($C$3-724),"mmm'yy")</f>
        <v>Oct'24</v>
      </c>
    </row>
    <row r="5" spans="2:105" s="29" customFormat="1" ht="14.5" x14ac:dyDescent="0.35">
      <c r="E5" s="44"/>
      <c r="F5" s="44"/>
      <c r="G5" s="44"/>
      <c r="H5" s="44"/>
      <c r="I5" s="44"/>
      <c r="J5" s="44"/>
      <c r="K5" s="44"/>
      <c r="L5" s="44"/>
      <c r="M5" s="44"/>
      <c r="N5" s="44"/>
      <c r="O5" s="47"/>
      <c r="Q5" s="47"/>
      <c r="S5" s="47"/>
      <c r="U5" s="47"/>
      <c r="W5" s="47"/>
      <c r="Y5" s="47"/>
      <c r="AA5" s="47"/>
    </row>
    <row r="6" spans="2:105" s="29" customFormat="1" ht="21" x14ac:dyDescent="0.5">
      <c r="C6" s="199" t="s">
        <v>168</v>
      </c>
      <c r="D6" s="38"/>
      <c r="E6" s="38"/>
      <c r="F6" s="38"/>
      <c r="G6" s="38"/>
      <c r="O6" s="44"/>
    </row>
    <row r="7" spans="2:105" s="29" customFormat="1" ht="14.5" x14ac:dyDescent="0.35">
      <c r="C7" s="39" t="s">
        <v>161</v>
      </c>
      <c r="D7" s="39"/>
      <c r="E7" s="39"/>
      <c r="F7" s="40" t="str">
        <f>IF(SUM(template!B$3:B$52)=template!B$53,"OK","Mistake")</f>
        <v>OK</v>
      </c>
      <c r="G7" s="39"/>
      <c r="O7" s="44"/>
    </row>
    <row r="8" spans="2:105" s="29" customFormat="1" ht="14.5" x14ac:dyDescent="0.35">
      <c r="C8" s="29" t="s">
        <v>160</v>
      </c>
      <c r="F8" s="40" t="str">
        <f>IF(SUM(template!C$3:C$52)=template!C$53,"OK","Mistake")</f>
        <v>OK</v>
      </c>
      <c r="O8" s="44"/>
    </row>
    <row r="9" spans="2:105" s="29" customFormat="1" ht="14.5" x14ac:dyDescent="0.35">
      <c r="C9" s="29" t="s">
        <v>162</v>
      </c>
      <c r="F9" s="40" t="str">
        <f>IF(SUM(template!E$3:E$52)=template!E$53,"OK","Mistake")</f>
        <v>OK</v>
      </c>
      <c r="O9" s="44"/>
    </row>
    <row r="10" spans="2:105" s="29" customFormat="1" ht="14.5" x14ac:dyDescent="0.35">
      <c r="C10" s="29" t="s">
        <v>163</v>
      </c>
      <c r="F10" s="40" t="str">
        <f>IF(SUM(template!F$3:F$52)=template!F$53,"OK","Mistake")</f>
        <v>OK</v>
      </c>
    </row>
    <row r="11" spans="2:105" s="29" customFormat="1" ht="14.5" x14ac:dyDescent="0.35">
      <c r="C11" s="29" t="s">
        <v>164</v>
      </c>
      <c r="F11" s="40" t="str">
        <f>IF(template!G3=ROUND((template!B3-template!C3)/template!F3,2),"OK",template!A3)</f>
        <v>OK</v>
      </c>
      <c r="G11" s="40" t="str">
        <f>IF(template!G4=ROUND((template!B4-template!C4)/template!F4,2),"OK",template!A4)</f>
        <v>OK</v>
      </c>
      <c r="H11" s="40" t="str">
        <f>IF(template!G5=ROUND((template!B5-template!C5)/template!F5,2),"OK",template!A5)</f>
        <v>OK</v>
      </c>
      <c r="I11" s="40" t="str">
        <f>IF(template!G6=ROUND((template!B6-template!C6)/template!F6,2),"OK",template!A6)</f>
        <v>OK</v>
      </c>
      <c r="J11" s="40" t="str">
        <f>IF(template!G7=ROUND((template!B7-template!C7)/template!F7,2),"OK",template!A7)</f>
        <v>OK</v>
      </c>
      <c r="K11" s="40" t="str">
        <f>IF(template!G8=ROUND((template!B8-template!C8)/template!F8,2),"OK",template!A8)</f>
        <v>OK</v>
      </c>
      <c r="L11" s="40" t="str">
        <f>IF(template!G9=ROUND((template!B9-template!C9)/template!F9,2),"OK",template!A9)</f>
        <v>OK</v>
      </c>
      <c r="M11" s="40" t="str">
        <f>IF(template!G10=ROUND((template!B10-template!C10)/template!F10,2),"OK",template!A10)</f>
        <v>OK</v>
      </c>
      <c r="N11" s="40" t="str">
        <f>IF(template!G11=ROUND((template!B11-template!C11)/template!F11,2),"OK",template!A11)</f>
        <v>OK</v>
      </c>
      <c r="O11" s="40" t="str">
        <f>IF(template!G12=ROUND((template!B12-template!C12)/template!F12,2),"OK",template!A12)</f>
        <v>OK</v>
      </c>
      <c r="P11" s="40" t="str">
        <f>IF(template!G13=ROUND((template!B13-template!C13)/template!F13,2),"OK",template!A13)</f>
        <v>OK</v>
      </c>
      <c r="Q11" s="40" t="str">
        <f>IF(template!G14=ROUND((template!B14-template!C14)/template!F14,2),"OK",template!A14)</f>
        <v>OK</v>
      </c>
      <c r="R11" s="40" t="str">
        <f>IF(template!G15=ROUND((template!B15-template!C15)/template!F15,2),"OK",template!A15)</f>
        <v>OK</v>
      </c>
      <c r="S11" s="40" t="str">
        <f>IF(template!G16=ROUND((template!B16-template!C16)/template!F16,2),"OK",template!A16)</f>
        <v>OK</v>
      </c>
      <c r="T11" s="40" t="str">
        <f>IF(template!G17=ROUND((template!B17-template!C17)/template!F17,2),"OK",template!A17)</f>
        <v>OK</v>
      </c>
      <c r="U11" s="40" t="str">
        <f>IF(template!G18=ROUND((template!B18-template!C18)/template!F18,2),"OK",template!A18)</f>
        <v>OK</v>
      </c>
      <c r="V11" s="40" t="str">
        <f>IF(template!G19=ROUND((template!B19-template!C19)/template!F19,2),"OK",template!A19)</f>
        <v>OK</v>
      </c>
      <c r="W11" s="40" t="str">
        <f>IF(template!G20=ROUND((template!B20-template!C20)/template!F20,2),"OK",template!A20)</f>
        <v>OK</v>
      </c>
      <c r="X11" s="40" t="str">
        <f>IF(template!G21=ROUND((template!B21-template!C21)/template!F21,2),"OK",template!A21)</f>
        <v>OK</v>
      </c>
      <c r="Y11" s="40" t="str">
        <f>IF(template!G22=ROUND((template!B22-template!C22)/template!F22,2),"OK",template!A22)</f>
        <v>OK</v>
      </c>
      <c r="Z11" s="40" t="str">
        <f>IF(template!G23=ROUND((template!B23-template!C23)/template!F23,2),"OK",template!A23)</f>
        <v>OK</v>
      </c>
      <c r="AA11" s="40" t="str">
        <f>IF(template!G24=ROUND((template!B24-template!C24)/template!F24,2),"OK",template!A24)</f>
        <v>OK</v>
      </c>
      <c r="AB11" s="40" t="str">
        <f>IF(template!G25=ROUND((template!B25-template!C25)/template!F25,2),"OK",template!A25)</f>
        <v>OK</v>
      </c>
      <c r="AC11" s="40" t="str">
        <f>IF(template!G26=ROUND((template!B26-template!C26)/template!F26,2),"OK",template!A26)</f>
        <v>OK</v>
      </c>
      <c r="AD11" s="40" t="str">
        <f>IF(template!G27=ROUND((template!B27-template!C27)/template!F27,2),"OK",template!A27)</f>
        <v>OK</v>
      </c>
      <c r="AE11" s="40" t="str">
        <f>IF(template!G28=ROUND((template!B28-template!C28)/template!F28,2),"OK",template!A28)</f>
        <v>OK</v>
      </c>
      <c r="AF11" s="40" t="str">
        <f>IF(template!G29=ROUND((template!B29-template!C29)/template!F29,2),"OK",template!A29)</f>
        <v>OK</v>
      </c>
      <c r="AG11" s="40" t="str">
        <f>IF(template!G30=ROUND((template!B30-template!C30)/template!F30,2),"OK",template!A30)</f>
        <v>OK</v>
      </c>
      <c r="AH11" s="40" t="str">
        <f>IF(template!G31=ROUND((template!B31-template!C31)/template!F31,2),"OK",template!A31)</f>
        <v>OK</v>
      </c>
      <c r="AI11" s="40" t="str">
        <f>IF(template!G32=ROUND((template!B32-template!C32)/template!F32,2),"OK",template!A32)</f>
        <v>OK</v>
      </c>
      <c r="AJ11" s="40" t="str">
        <f>IF(template!G33=ROUND((template!B33-template!C33)/template!F33,2),"OK",template!A33)</f>
        <v>OK</v>
      </c>
      <c r="AK11" s="40" t="str">
        <f>IF(template!G34=ROUND((template!B34-template!C34)/template!F34,2),"OK",template!A34)</f>
        <v>OK</v>
      </c>
      <c r="AL11" s="40" t="str">
        <f>IF(template!G35=ROUND((template!B35-template!C35)/template!F35,2),"OK",template!A35)</f>
        <v>OK</v>
      </c>
      <c r="AM11" s="40" t="str">
        <f>IF(template!G36=ROUND((template!B36-template!C36)/template!F36,2),"OK",template!A36)</f>
        <v>OK</v>
      </c>
      <c r="AN11" s="40" t="str">
        <f>IF(template!G37=ROUND((template!B37-template!C37)/template!F37,2),"OK",template!A37)</f>
        <v>OK</v>
      </c>
      <c r="AO11" s="40" t="str">
        <f>IF(template!G38=ROUND((template!B38-template!C38)/template!F38,2),"OK",template!A38)</f>
        <v>OK</v>
      </c>
      <c r="AP11" s="40" t="str">
        <f>IF(template!G39=ROUND((template!B39-template!C39)/template!F39,2),"OK",template!A39)</f>
        <v>OK</v>
      </c>
      <c r="AQ11" s="40" t="str">
        <f>IF(template!G40=ROUND((template!B40-template!C40)/template!F40,2),"OK",template!A40)</f>
        <v>OK</v>
      </c>
      <c r="AR11" s="40" t="str">
        <f>IF(template!G41=ROUND((template!B41-template!C41)/template!F41,2),"OK",template!A41)</f>
        <v>OK</v>
      </c>
      <c r="AS11" s="40" t="str">
        <f>IF(template!G42=ROUND((template!B42-template!C42)/template!F42,2),"OK",template!A42)</f>
        <v>OK</v>
      </c>
      <c r="AT11" s="40" t="str">
        <f>IF(template!G43=ROUND((template!B43-template!C43)/template!F43,2),"OK",template!A43)</f>
        <v>OK</v>
      </c>
      <c r="AU11" s="40" t="str">
        <f>IF(template!G44=ROUND((template!B44-template!C44)/template!F44,2),"OK",template!A44)</f>
        <v>OK</v>
      </c>
      <c r="AV11" s="40" t="str">
        <f>IF(template!G45=ROUND((template!B45-template!C45)/template!F45,2),"OK",template!A45)</f>
        <v>OK</v>
      </c>
      <c r="AW11" s="40" t="str">
        <f>IF(template!G46=ROUND((template!B46-template!C46)/template!F46,2),"OK",template!A46)</f>
        <v>OK</v>
      </c>
      <c r="AX11" s="40" t="str">
        <f>IF(template!G47=ROUND((template!B47-template!C47)/template!F47,2),"OK",template!A47)</f>
        <v>OK</v>
      </c>
      <c r="AY11" s="40" t="str">
        <f>IF(template!G48=ROUND((template!B48-template!C48)/template!F48,2),"OK",template!A48)</f>
        <v>OK</v>
      </c>
      <c r="AZ11" s="40" t="str">
        <f>IF(template!G49=ROUND((template!B49-template!C49)/template!F49,2),"OK",template!A49)</f>
        <v>OK</v>
      </c>
      <c r="BA11" s="40" t="str">
        <f>IF(template!G50=ROUND((template!B50-template!C50)/template!F50,2),"OK",template!A50)</f>
        <v>OK</v>
      </c>
      <c r="BB11" s="40" t="str">
        <f>IF(template!G51=ROUND((template!B51-template!C51)/template!F51,2),"OK",template!A51)</f>
        <v>OK</v>
      </c>
      <c r="BC11" s="40" t="str">
        <f>IF(template!G52=ROUND((template!B52-template!C52)/template!F52,2),"OK",template!A52)</f>
        <v>OK</v>
      </c>
    </row>
    <row r="12" spans="2:105" s="29" customFormat="1" ht="14.5" x14ac:dyDescent="0.35">
      <c r="C12" s="29" t="s">
        <v>165</v>
      </c>
      <c r="F12" s="40" t="str">
        <f>IF(template!H3=ROUND((template!E3/template!F3),2),"OK",template!A3)</f>
        <v>OK</v>
      </c>
      <c r="G12" s="40" t="str">
        <f>IF(template!H4=ROUND((template!E4/template!F4),2),"OK",template!A4)</f>
        <v>OK</v>
      </c>
      <c r="H12" s="40" t="str">
        <f>IF(template!H5=ROUND((template!E5/template!F5),2),"OK",template!A5)</f>
        <v>OK</v>
      </c>
      <c r="I12" s="40" t="str">
        <f>IF(template!H6=ROUND((template!E6/template!F6),2),"OK",template!A6)</f>
        <v>OK</v>
      </c>
      <c r="J12" s="40" t="str">
        <f>IF(template!H7=ROUND((template!E7/template!F7),2),"OK",template!A7)</f>
        <v>OK</v>
      </c>
      <c r="K12" s="40" t="str">
        <f>IF(template!H8=ROUND((template!E8/template!F8),2),"OK",template!A8)</f>
        <v>OK</v>
      </c>
      <c r="L12" s="40" t="str">
        <f>IF(template!H9=ROUND((template!E9/template!F9),2),"OK",template!A9)</f>
        <v>OK</v>
      </c>
      <c r="M12" s="40" t="str">
        <f>IF(template!H10=ROUND((template!E10/template!F10),2),"OK",template!A10)</f>
        <v>OK</v>
      </c>
      <c r="N12" s="40" t="str">
        <f>IF(template!H11=ROUND((template!E11/template!F11),2),"OK",template!A11)</f>
        <v>OK</v>
      </c>
      <c r="O12" s="40" t="str">
        <f>IF(template!H12=ROUND((template!E12/template!F12),2),"OK",template!A12)</f>
        <v>OK</v>
      </c>
      <c r="P12" s="40" t="str">
        <f>IF(template!H13=ROUND((template!E13/template!F13),2),"OK",template!A13)</f>
        <v>OK</v>
      </c>
      <c r="Q12" s="40" t="str">
        <f>IF(template!H14=ROUND((template!E14/template!F14),2),"OK",template!A14)</f>
        <v>OK</v>
      </c>
      <c r="R12" s="40" t="str">
        <f>IF(template!H15=ROUND((template!E15/template!F15),2),"OK",template!A15)</f>
        <v>OK</v>
      </c>
      <c r="S12" s="40" t="str">
        <f>IF(template!H16=ROUND((template!E16/template!F16),2),"OK",template!A16)</f>
        <v>OK</v>
      </c>
      <c r="T12" s="40" t="str">
        <f>IF(template!H17=ROUND((template!E17/template!F17),2),"OK",template!A17)</f>
        <v>OK</v>
      </c>
      <c r="U12" s="40" t="str">
        <f>IF(template!H18=ROUND((template!E18/template!F18),2),"OK",template!A18)</f>
        <v>OK</v>
      </c>
      <c r="V12" s="40" t="str">
        <f>IF(template!H19=ROUND((template!E19/template!F19),2),"OK",template!A19)</f>
        <v>OK</v>
      </c>
      <c r="W12" s="40" t="str">
        <f>IF(template!H20=ROUND((template!E20/template!F20),2),"OK",template!A20)</f>
        <v>OK</v>
      </c>
      <c r="X12" s="40" t="str">
        <f>IF(template!H21=ROUND((template!E21/template!F21),2),"OK",template!A21)</f>
        <v>OK</v>
      </c>
      <c r="Y12" s="40" t="str">
        <f>IF(template!H22=ROUND((template!E22/template!F22),2),"OK",template!A22)</f>
        <v>OK</v>
      </c>
      <c r="Z12" s="40" t="str">
        <f>IF(template!H23=ROUND((template!E23/template!F23),2),"OK",template!A23)</f>
        <v>OK</v>
      </c>
      <c r="AA12" s="40" t="str">
        <f>IF(template!H24=ROUND((template!E24/template!F24),2),"OK",template!A24)</f>
        <v>OK</v>
      </c>
      <c r="AB12" s="40" t="str">
        <f>IF(template!H25=ROUND((template!E25/template!F25),2),"OK",template!A25)</f>
        <v>OK</v>
      </c>
      <c r="AC12" s="40" t="str">
        <f>IF(template!H26=ROUND((template!E26/template!F26),2),"OK",template!A26)</f>
        <v>OK</v>
      </c>
      <c r="AD12" s="40" t="str">
        <f>IF(template!H27=ROUND((template!E27/template!F27),2),"OK",template!A27)</f>
        <v>OK</v>
      </c>
      <c r="AE12" s="40" t="str">
        <f>IF(template!H28=ROUND((template!E28/template!F28),2),"OK",template!A28)</f>
        <v>OK</v>
      </c>
      <c r="AF12" s="40" t="str">
        <f>IF(template!H29=ROUND((template!E29/template!F29),2),"OK",template!A29)</f>
        <v>OK</v>
      </c>
      <c r="AG12" s="40" t="str">
        <f>IF(template!H30=ROUND((template!E30/template!F30),2),"OK",template!A30)</f>
        <v>OK</v>
      </c>
      <c r="AH12" s="40" t="str">
        <f>IF(template!H31=ROUND((template!E31/template!F31),2),"OK",template!A31)</f>
        <v>OK</v>
      </c>
      <c r="AI12" s="40" t="str">
        <f>IF(template!H32=ROUND((template!E32/template!F32),2),"OK",template!A32)</f>
        <v>OK</v>
      </c>
      <c r="AJ12" s="40" t="str">
        <f>IF(template!H33=ROUND((template!E33/template!F33),2),"OK",template!A33)</f>
        <v>OK</v>
      </c>
      <c r="AK12" s="40" t="str">
        <f>IF(template!H34=ROUND((template!E34/template!F34),2),"OK",template!A34)</f>
        <v>OK</v>
      </c>
      <c r="AL12" s="40" t="str">
        <f>IF(template!H35=ROUND((template!E35/template!F35),2),"OK",template!A35)</f>
        <v>OK</v>
      </c>
      <c r="AM12" s="40" t="str">
        <f>IF(template!H36=ROUND((template!E36/template!F36),2),"OK",template!A36)</f>
        <v>OK</v>
      </c>
      <c r="AN12" s="40" t="str">
        <f>IF(template!H37=ROUND((template!E37/template!F37),2),"OK",template!A37)</f>
        <v>OK</v>
      </c>
      <c r="AO12" s="40" t="str">
        <f>IF(template!H38=ROUND((template!E38/template!F38),2),"OK",template!A38)</f>
        <v>OK</v>
      </c>
      <c r="AP12" s="40" t="str">
        <f>IF(template!H39=ROUND((template!E39/template!F39),2),"OK",template!A39)</f>
        <v>OK</v>
      </c>
      <c r="AQ12" s="40" t="str">
        <f>IF(template!H40=ROUND((template!E40/template!F40),2),"OK",template!A40)</f>
        <v>OK</v>
      </c>
      <c r="AR12" s="40" t="str">
        <f>IF(template!H41=ROUND((template!E41/template!F41),2),"OK",template!A41)</f>
        <v>OK</v>
      </c>
      <c r="AS12" s="40" t="str">
        <f>IF(template!H42=ROUND((template!E42/template!F42),2),"OK",template!A42)</f>
        <v>OK</v>
      </c>
      <c r="AT12" s="40" t="str">
        <f>IF(template!H43=ROUND((template!E43/template!F43),2),"OK",template!A43)</f>
        <v>OK</v>
      </c>
      <c r="AU12" s="40" t="str">
        <f>IF(template!H44=ROUND((template!E44/template!F44),2),"OK",template!A44)</f>
        <v>OK</v>
      </c>
      <c r="AV12" s="40" t="str">
        <f>IF(template!H45=ROUND((template!E45/template!F45),2),"OK",template!A45)</f>
        <v>OK</v>
      </c>
      <c r="AW12" s="40" t="str">
        <f>IF(template!H46=ROUND((template!E46/template!F46),2),"OK",template!A46)</f>
        <v>OK</v>
      </c>
      <c r="AX12" s="40" t="str">
        <f>IF(template!H47=ROUND((template!E47/template!F47),2),"OK",template!A47)</f>
        <v>OK</v>
      </c>
      <c r="AY12" s="40" t="str">
        <f>IF(template!H48=ROUND((template!E48/template!F48),2),"OK",template!A48)</f>
        <v>OK</v>
      </c>
      <c r="AZ12" s="40" t="str">
        <f>IF(template!H49=ROUND((template!E49/template!F49),2),"OK",template!A49)</f>
        <v>OK</v>
      </c>
      <c r="BA12" s="40" t="str">
        <f>IF(template!H50=ROUND((template!E50/template!F50),2),"OK",template!A50)</f>
        <v>OK</v>
      </c>
      <c r="BB12" s="40" t="str">
        <f>IF(template!H51=ROUND((template!E51/template!F51),2),"OK",template!A51)</f>
        <v>OK</v>
      </c>
      <c r="BC12" s="40" t="str">
        <f>IF(template!H52=ROUND((template!E52/template!F52),2),"OK",template!A52)</f>
        <v>OK</v>
      </c>
    </row>
    <row r="18" spans="1:11" s="29" customFormat="1" ht="14.5" x14ac:dyDescent="0.35">
      <c r="B18" s="29" t="s">
        <v>166</v>
      </c>
    </row>
    <row r="19" spans="1:11" x14ac:dyDescent="0.25">
      <c r="A19" t="s">
        <v>255</v>
      </c>
      <c r="C19" t="s">
        <v>256</v>
      </c>
      <c r="D19" t="s">
        <v>257</v>
      </c>
      <c r="E19" t="s">
        <v>258</v>
      </c>
      <c r="G19" t="s">
        <v>259</v>
      </c>
      <c r="J19" s="205"/>
      <c r="K19" s="205"/>
    </row>
    <row r="20" spans="1:11" x14ac:dyDescent="0.25">
      <c r="A20" t="s">
        <v>308</v>
      </c>
      <c r="B20">
        <v>2026</v>
      </c>
      <c r="C20" t="s">
        <v>138</v>
      </c>
      <c r="D20" t="s">
        <v>139</v>
      </c>
      <c r="E20" t="s">
        <v>140</v>
      </c>
      <c r="J20" s="205"/>
      <c r="K20" s="205"/>
    </row>
    <row r="21" spans="1:11" x14ac:dyDescent="0.25">
      <c r="A21" t="s">
        <v>309</v>
      </c>
      <c r="B21">
        <v>2026</v>
      </c>
      <c r="C21" t="s">
        <v>141</v>
      </c>
      <c r="D21" t="s">
        <v>142</v>
      </c>
      <c r="E21" t="s">
        <v>143</v>
      </c>
      <c r="J21" s="205"/>
      <c r="K21" s="205"/>
    </row>
    <row r="22" spans="1:11" x14ac:dyDescent="0.25">
      <c r="C22" t="s">
        <v>144</v>
      </c>
      <c r="D22" t="s">
        <v>145</v>
      </c>
      <c r="E22" t="s">
        <v>146</v>
      </c>
      <c r="J22" s="205"/>
      <c r="K22" s="205"/>
    </row>
    <row r="23" spans="1:11" x14ac:dyDescent="0.25">
      <c r="J23" s="205"/>
      <c r="K23" s="205"/>
    </row>
    <row r="24" spans="1:11" x14ac:dyDescent="0.25">
      <c r="C24" t="s">
        <v>147</v>
      </c>
      <c r="D24" t="s">
        <v>148</v>
      </c>
      <c r="J24" s="205"/>
      <c r="K24" s="205"/>
    </row>
    <row r="25" spans="1:11" x14ac:dyDescent="0.25">
      <c r="J25" s="205"/>
      <c r="K25" s="205"/>
    </row>
    <row r="26" spans="1:11" x14ac:dyDescent="0.25">
      <c r="A26" t="s">
        <v>240</v>
      </c>
      <c r="B26" t="s">
        <v>240</v>
      </c>
      <c r="C26" t="s">
        <v>149</v>
      </c>
      <c r="D26" t="s">
        <v>149</v>
      </c>
      <c r="E26" t="s">
        <v>149</v>
      </c>
      <c r="F26" t="s">
        <v>243</v>
      </c>
      <c r="G26" t="s">
        <v>240</v>
      </c>
      <c r="H26" t="s">
        <v>248</v>
      </c>
      <c r="I26" t="s">
        <v>245</v>
      </c>
      <c r="J26" s="205"/>
      <c r="K26" s="205"/>
    </row>
    <row r="27" spans="1:11" x14ac:dyDescent="0.25">
      <c r="B27" t="s">
        <v>150</v>
      </c>
      <c r="C27" t="s">
        <v>151</v>
      </c>
      <c r="D27" t="s">
        <v>152</v>
      </c>
      <c r="E27" t="s">
        <v>153</v>
      </c>
      <c r="F27" t="s">
        <v>244</v>
      </c>
      <c r="G27" t="s">
        <v>253</v>
      </c>
      <c r="H27" t="s">
        <v>249</v>
      </c>
      <c r="I27" t="s">
        <v>246</v>
      </c>
      <c r="J27" s="205"/>
      <c r="K27" s="245" t="s">
        <v>252</v>
      </c>
    </row>
    <row r="28" spans="1:11" x14ac:dyDescent="0.25">
      <c r="A28" t="s">
        <v>0</v>
      </c>
      <c r="B28" t="s">
        <v>154</v>
      </c>
      <c r="C28" t="s">
        <v>155</v>
      </c>
      <c r="D28" t="s">
        <v>156</v>
      </c>
      <c r="E28" t="s">
        <v>157</v>
      </c>
      <c r="F28" t="e">
        <f>-ed To Gr</f>
        <v>#NAME?</v>
      </c>
      <c r="G28" t="s">
        <v>254</v>
      </c>
      <c r="H28" t="s">
        <v>250</v>
      </c>
      <c r="I28" t="s">
        <v>247</v>
      </c>
      <c r="J28" s="205"/>
      <c r="K28" s="205"/>
    </row>
    <row r="29" spans="1:11" x14ac:dyDescent="0.25">
      <c r="A29" t="s">
        <v>240</v>
      </c>
      <c r="B29" t="s">
        <v>240</v>
      </c>
      <c r="C29" t="s">
        <v>149</v>
      </c>
      <c r="D29" t="s">
        <v>149</v>
      </c>
      <c r="E29" t="s">
        <v>149</v>
      </c>
      <c r="F29" t="s">
        <v>243</v>
      </c>
      <c r="G29" t="s">
        <v>240</v>
      </c>
      <c r="H29" t="s">
        <v>248</v>
      </c>
      <c r="I29" t="s">
        <v>245</v>
      </c>
      <c r="J29" s="205"/>
      <c r="K29" s="205"/>
    </row>
    <row r="30" spans="1:11" x14ac:dyDescent="0.25">
      <c r="A30" t="s">
        <v>62</v>
      </c>
      <c r="B30" s="244">
        <v>736219977.32000005</v>
      </c>
      <c r="C30" s="244">
        <v>655795672.37</v>
      </c>
      <c r="D30" s="244">
        <v>14043201.439999999</v>
      </c>
      <c r="E30" s="244">
        <v>13740593</v>
      </c>
      <c r="F30">
        <v>5.85</v>
      </c>
      <c r="G30">
        <v>1.02</v>
      </c>
      <c r="J30" s="205"/>
      <c r="K30" s="205"/>
    </row>
    <row r="31" spans="1:11" x14ac:dyDescent="0.25">
      <c r="A31" t="s">
        <v>35</v>
      </c>
      <c r="B31" s="244">
        <v>1537281221.97</v>
      </c>
      <c r="C31" s="244">
        <v>1351620188.8599999</v>
      </c>
      <c r="D31" s="244">
        <v>42886925.420000002</v>
      </c>
      <c r="E31" s="244">
        <v>33947877</v>
      </c>
      <c r="F31">
        <v>5.47</v>
      </c>
      <c r="G31">
        <v>1.26</v>
      </c>
      <c r="J31" s="205"/>
      <c r="K31" s="205"/>
    </row>
    <row r="32" spans="1:11" x14ac:dyDescent="0.25">
      <c r="A32" t="s">
        <v>23</v>
      </c>
      <c r="B32" s="244">
        <v>1161972037.8499999</v>
      </c>
      <c r="C32" s="244">
        <v>1029107494.6799999</v>
      </c>
      <c r="D32" s="244">
        <v>23833937.629999999</v>
      </c>
      <c r="E32" s="244">
        <v>24581601</v>
      </c>
      <c r="F32">
        <v>5.41</v>
      </c>
      <c r="G32">
        <v>0.97</v>
      </c>
      <c r="J32" s="205"/>
      <c r="K32" s="205"/>
    </row>
    <row r="33" spans="1:7" x14ac:dyDescent="0.25">
      <c r="A33" t="s">
        <v>46</v>
      </c>
      <c r="B33" s="244">
        <v>1834758280.3599999</v>
      </c>
      <c r="C33" s="244">
        <v>1608503408.75</v>
      </c>
      <c r="D33" s="244">
        <v>40926432.950000003</v>
      </c>
      <c r="E33" s="244">
        <v>46162390</v>
      </c>
      <c r="F33">
        <v>4.9000000000000004</v>
      </c>
      <c r="G33">
        <v>0.89</v>
      </c>
    </row>
    <row r="34" spans="1:7" x14ac:dyDescent="0.25">
      <c r="A34" t="s">
        <v>60</v>
      </c>
      <c r="B34" s="244">
        <v>832991634</v>
      </c>
      <c r="C34" s="244">
        <v>742413768.75999999</v>
      </c>
      <c r="D34" s="244">
        <v>14077994.68</v>
      </c>
      <c r="E34" s="244">
        <v>19318411</v>
      </c>
      <c r="F34">
        <v>4.6900000000000004</v>
      </c>
      <c r="G34">
        <v>0.73</v>
      </c>
    </row>
    <row r="35" spans="1:7" x14ac:dyDescent="0.25">
      <c r="A35" t="s">
        <v>40</v>
      </c>
      <c r="B35" s="244">
        <v>521738422.91000003</v>
      </c>
      <c r="C35" s="244">
        <v>472519228.93000001</v>
      </c>
      <c r="D35" s="244">
        <v>8353978</v>
      </c>
      <c r="E35" s="244">
        <v>10575107</v>
      </c>
      <c r="F35">
        <v>4.6500000000000004</v>
      </c>
      <c r="G35">
        <v>0.79</v>
      </c>
    </row>
    <row r="36" spans="1:7" x14ac:dyDescent="0.25">
      <c r="A36" t="s">
        <v>16</v>
      </c>
      <c r="B36" s="244">
        <v>109550014.73</v>
      </c>
      <c r="C36" s="244">
        <v>97908311.180000007</v>
      </c>
      <c r="D36" s="244">
        <v>2278559.96</v>
      </c>
      <c r="E36" s="244">
        <v>2564020</v>
      </c>
      <c r="F36">
        <v>4.54</v>
      </c>
      <c r="G36">
        <v>0.89</v>
      </c>
    </row>
    <row r="37" spans="1:7" x14ac:dyDescent="0.25">
      <c r="A37" t="s">
        <v>52</v>
      </c>
      <c r="B37" s="244">
        <v>1988273334</v>
      </c>
      <c r="C37" s="244">
        <v>1891689690.6500001</v>
      </c>
      <c r="D37" s="244">
        <v>25216348.43</v>
      </c>
      <c r="E37" s="244">
        <v>21377853</v>
      </c>
      <c r="F37">
        <v>4.5199999999999996</v>
      </c>
      <c r="G37">
        <v>1.18</v>
      </c>
    </row>
    <row r="38" spans="1:7" x14ac:dyDescent="0.25">
      <c r="A38" t="s">
        <v>39</v>
      </c>
      <c r="B38" s="244">
        <v>277492827</v>
      </c>
      <c r="C38" s="244">
        <v>251098469.06999999</v>
      </c>
      <c r="D38" s="244">
        <v>7340976.8200000003</v>
      </c>
      <c r="E38" s="244">
        <v>6175487</v>
      </c>
      <c r="F38">
        <v>4.2699999999999996</v>
      </c>
      <c r="G38">
        <v>1.19</v>
      </c>
    </row>
    <row r="39" spans="1:7" x14ac:dyDescent="0.25">
      <c r="A39" t="s">
        <v>54</v>
      </c>
      <c r="B39" s="244">
        <v>1062884699.45</v>
      </c>
      <c r="C39" s="244">
        <v>982220065.13</v>
      </c>
      <c r="D39" s="244">
        <v>20722626.93</v>
      </c>
      <c r="E39" s="244">
        <v>20295542</v>
      </c>
      <c r="F39">
        <v>3.97</v>
      </c>
      <c r="G39">
        <v>1.02</v>
      </c>
    </row>
    <row r="40" spans="1:7" x14ac:dyDescent="0.25">
      <c r="A40" t="s">
        <v>55</v>
      </c>
      <c r="B40" s="244">
        <v>265541640</v>
      </c>
      <c r="C40" s="244">
        <v>243099732.75</v>
      </c>
      <c r="D40" s="244">
        <v>3047483.52</v>
      </c>
      <c r="E40" s="244">
        <v>5658227</v>
      </c>
      <c r="F40">
        <v>3.97</v>
      </c>
      <c r="G40">
        <v>0.54</v>
      </c>
    </row>
    <row r="41" spans="1:7" x14ac:dyDescent="0.25">
      <c r="A41" t="s">
        <v>38</v>
      </c>
      <c r="B41" s="244">
        <v>1055669610</v>
      </c>
      <c r="C41" s="244">
        <v>967317851.00999999</v>
      </c>
      <c r="D41" s="244">
        <v>24929615.609999999</v>
      </c>
      <c r="E41" s="244">
        <v>22482478</v>
      </c>
      <c r="F41">
        <v>3.93</v>
      </c>
      <c r="G41">
        <v>1.1100000000000001</v>
      </c>
    </row>
    <row r="42" spans="1:7" x14ac:dyDescent="0.25">
      <c r="A42" t="s">
        <v>28</v>
      </c>
      <c r="B42" s="244">
        <v>1108164533</v>
      </c>
      <c r="C42" s="244">
        <v>1014337608.25</v>
      </c>
      <c r="D42" s="244">
        <v>17580265.059999999</v>
      </c>
      <c r="E42" s="244">
        <v>24223580</v>
      </c>
      <c r="F42">
        <v>3.87</v>
      </c>
      <c r="G42">
        <v>0.73</v>
      </c>
    </row>
    <row r="43" spans="1:7" x14ac:dyDescent="0.25">
      <c r="A43" t="s">
        <v>47</v>
      </c>
      <c r="B43" s="244">
        <v>194558780.36000001</v>
      </c>
      <c r="C43" s="244">
        <v>180871507.41</v>
      </c>
      <c r="D43" s="244">
        <v>6896961.3899999997</v>
      </c>
      <c r="E43" s="244">
        <v>3559742</v>
      </c>
      <c r="F43">
        <v>3.85</v>
      </c>
      <c r="G43">
        <v>1.94</v>
      </c>
    </row>
    <row r="44" spans="1:7" x14ac:dyDescent="0.25">
      <c r="A44" t="s">
        <v>36</v>
      </c>
      <c r="B44" s="244">
        <v>872347192</v>
      </c>
      <c r="C44" s="244">
        <v>799355256.88</v>
      </c>
      <c r="D44" s="244">
        <v>16168680.5</v>
      </c>
      <c r="E44" s="244">
        <v>19090913</v>
      </c>
      <c r="F44">
        <v>3.82</v>
      </c>
      <c r="G44">
        <v>0.85</v>
      </c>
    </row>
    <row r="45" spans="1:7" x14ac:dyDescent="0.25">
      <c r="A45" t="s">
        <v>29</v>
      </c>
      <c r="B45" s="244">
        <v>704892478</v>
      </c>
      <c r="C45" s="244">
        <v>648672705.85000002</v>
      </c>
      <c r="D45" s="244">
        <v>8167750.1900000004</v>
      </c>
      <c r="E45" s="244">
        <v>14946818</v>
      </c>
      <c r="F45">
        <v>3.76</v>
      </c>
      <c r="G45">
        <v>0.55000000000000004</v>
      </c>
    </row>
    <row r="46" spans="1:7" x14ac:dyDescent="0.25">
      <c r="A46" t="s">
        <v>30</v>
      </c>
      <c r="B46" s="244">
        <v>1194714205.73</v>
      </c>
      <c r="C46" s="244">
        <v>1094915265</v>
      </c>
      <c r="D46" s="244">
        <v>19969720.890000001</v>
      </c>
      <c r="E46" s="244">
        <v>26571929</v>
      </c>
      <c r="F46">
        <v>3.76</v>
      </c>
      <c r="G46">
        <v>0.75</v>
      </c>
    </row>
    <row r="47" spans="1:7" x14ac:dyDescent="0.25">
      <c r="A47" t="s">
        <v>45</v>
      </c>
      <c r="B47" s="244">
        <v>1324242232.53</v>
      </c>
      <c r="C47" s="244">
        <v>1147058995.02</v>
      </c>
      <c r="D47" s="244">
        <v>44126817.07</v>
      </c>
      <c r="E47" s="244">
        <v>47819699</v>
      </c>
      <c r="F47">
        <v>3.71</v>
      </c>
      <c r="G47">
        <v>0.92</v>
      </c>
    </row>
    <row r="48" spans="1:7" x14ac:dyDescent="0.25">
      <c r="A48" t="s">
        <v>44</v>
      </c>
      <c r="B48" s="244">
        <v>504504813</v>
      </c>
      <c r="C48" s="244">
        <v>464169555.19</v>
      </c>
      <c r="D48" s="244">
        <v>11968159.74</v>
      </c>
      <c r="E48" s="244">
        <v>10946097</v>
      </c>
      <c r="F48">
        <v>3.68</v>
      </c>
      <c r="G48">
        <v>1.0900000000000001</v>
      </c>
    </row>
    <row r="49" spans="1:8" x14ac:dyDescent="0.25">
      <c r="A49" t="s">
        <v>21</v>
      </c>
      <c r="B49" s="244">
        <v>556192005.02999997</v>
      </c>
      <c r="C49" s="244">
        <v>506480655.77999997</v>
      </c>
      <c r="D49" s="244">
        <v>11967382.810000001</v>
      </c>
      <c r="E49" s="244">
        <v>13902275</v>
      </c>
      <c r="F49">
        <v>3.58</v>
      </c>
      <c r="G49">
        <v>0.86</v>
      </c>
    </row>
    <row r="50" spans="1:8" x14ac:dyDescent="0.25">
      <c r="A50" t="s">
        <v>64</v>
      </c>
      <c r="B50" s="244">
        <v>124445693.39</v>
      </c>
      <c r="C50" s="244">
        <v>111932621.37</v>
      </c>
      <c r="D50" s="244">
        <v>5976251.7800000003</v>
      </c>
      <c r="E50" s="244">
        <v>3545933</v>
      </c>
      <c r="F50">
        <v>3.53</v>
      </c>
      <c r="G50">
        <v>1.69</v>
      </c>
      <c r="H50" t="s">
        <v>251</v>
      </c>
    </row>
    <row r="51" spans="1:8" x14ac:dyDescent="0.25">
      <c r="A51" t="s">
        <v>33</v>
      </c>
      <c r="B51" s="244">
        <v>329225451.43000001</v>
      </c>
      <c r="C51" s="244">
        <v>303692837.32999998</v>
      </c>
      <c r="D51" s="244">
        <v>9599941.0700000003</v>
      </c>
      <c r="E51" s="244">
        <v>7367342</v>
      </c>
      <c r="F51">
        <v>3.47</v>
      </c>
      <c r="G51">
        <v>1.3</v>
      </c>
    </row>
    <row r="52" spans="1:8" x14ac:dyDescent="0.25">
      <c r="A52" t="s">
        <v>56</v>
      </c>
      <c r="B52" s="244">
        <v>1210656314</v>
      </c>
      <c r="C52" s="244">
        <v>1112537918.49</v>
      </c>
      <c r="D52" s="244">
        <v>20739846.91</v>
      </c>
      <c r="E52" s="244">
        <v>28278835</v>
      </c>
      <c r="F52">
        <v>3.47</v>
      </c>
      <c r="G52">
        <v>0.73</v>
      </c>
    </row>
    <row r="53" spans="1:8" x14ac:dyDescent="0.25">
      <c r="A53" t="s">
        <v>26</v>
      </c>
      <c r="B53" s="244">
        <v>1365257298.0599999</v>
      </c>
      <c r="C53" s="244">
        <v>1267823807.2</v>
      </c>
      <c r="D53" s="244">
        <v>49463092.869999997</v>
      </c>
      <c r="E53" s="244">
        <v>28988172</v>
      </c>
      <c r="F53">
        <v>3.36</v>
      </c>
      <c r="G53">
        <v>1.71</v>
      </c>
      <c r="H53" t="s">
        <v>251</v>
      </c>
    </row>
    <row r="54" spans="1:8" x14ac:dyDescent="0.25">
      <c r="A54" t="s">
        <v>43</v>
      </c>
      <c r="B54" s="244">
        <v>307409614.24000001</v>
      </c>
      <c r="C54" s="244">
        <v>284523317.00999999</v>
      </c>
      <c r="D54" s="244">
        <v>4418119.17</v>
      </c>
      <c r="E54" s="244">
        <v>6878551</v>
      </c>
      <c r="F54">
        <v>3.33</v>
      </c>
      <c r="G54">
        <v>0.64</v>
      </c>
    </row>
    <row r="55" spans="1:8" x14ac:dyDescent="0.25">
      <c r="A55" t="s">
        <v>20</v>
      </c>
      <c r="B55" s="244">
        <v>402118853.93000001</v>
      </c>
      <c r="C55" s="244">
        <v>370909283.29000002</v>
      </c>
      <c r="D55" s="244">
        <v>5554801.5300000003</v>
      </c>
      <c r="E55" s="244">
        <v>9522686</v>
      </c>
      <c r="F55">
        <v>3.28</v>
      </c>
      <c r="G55">
        <v>0.57999999999999996</v>
      </c>
    </row>
    <row r="56" spans="1:8" x14ac:dyDescent="0.25">
      <c r="A56" t="s">
        <v>53</v>
      </c>
      <c r="B56" s="244">
        <v>208940278.25</v>
      </c>
      <c r="C56" s="244">
        <v>190380583.19999999</v>
      </c>
      <c r="D56" s="244">
        <v>5064109.53</v>
      </c>
      <c r="E56" s="244">
        <v>5755637</v>
      </c>
      <c r="F56">
        <v>3.22</v>
      </c>
      <c r="G56">
        <v>0.88</v>
      </c>
    </row>
    <row r="57" spans="1:8" x14ac:dyDescent="0.25">
      <c r="A57" t="s">
        <v>61</v>
      </c>
      <c r="B57" s="244">
        <v>548221203</v>
      </c>
      <c r="C57" s="244">
        <v>507279852.02999997</v>
      </c>
      <c r="D57" s="244">
        <v>13277720.5</v>
      </c>
      <c r="E57" s="244">
        <v>13072724</v>
      </c>
      <c r="F57">
        <v>3.13</v>
      </c>
      <c r="G57">
        <v>1.02</v>
      </c>
    </row>
    <row r="58" spans="1:8" x14ac:dyDescent="0.25">
      <c r="A58" t="s">
        <v>27</v>
      </c>
      <c r="B58" s="244">
        <v>1371291427.5599999</v>
      </c>
      <c r="C58" s="244">
        <v>1276896636.26</v>
      </c>
      <c r="D58" s="244">
        <v>27622714.969999999</v>
      </c>
      <c r="E58" s="244">
        <v>30863204</v>
      </c>
      <c r="F58">
        <v>3.06</v>
      </c>
      <c r="G58">
        <v>0.9</v>
      </c>
    </row>
    <row r="59" spans="1:8" x14ac:dyDescent="0.25">
      <c r="A59" t="s">
        <v>59</v>
      </c>
      <c r="B59" s="244">
        <v>292527132</v>
      </c>
      <c r="C59" s="244">
        <v>269891608</v>
      </c>
      <c r="D59" s="244">
        <v>4678565</v>
      </c>
      <c r="E59" s="244">
        <v>7440366</v>
      </c>
      <c r="F59">
        <v>3.04</v>
      </c>
      <c r="G59">
        <v>0.63</v>
      </c>
    </row>
    <row r="60" spans="1:8" x14ac:dyDescent="0.25">
      <c r="A60" t="s">
        <v>25</v>
      </c>
      <c r="B60" s="244">
        <v>360320461.25</v>
      </c>
      <c r="C60" s="244">
        <v>335284395.08999997</v>
      </c>
      <c r="D60" s="244">
        <v>9130150.6300000008</v>
      </c>
      <c r="E60" s="244">
        <v>8777275</v>
      </c>
      <c r="F60">
        <v>2.85</v>
      </c>
      <c r="G60">
        <v>1.04</v>
      </c>
    </row>
    <row r="61" spans="1:8" x14ac:dyDescent="0.25">
      <c r="A61" t="s">
        <v>24</v>
      </c>
      <c r="B61" s="244">
        <v>1681086495.6500001</v>
      </c>
      <c r="C61" s="244">
        <v>1567794626.6099999</v>
      </c>
      <c r="D61" s="244">
        <v>24203654.780000001</v>
      </c>
      <c r="E61" s="244">
        <v>40945091</v>
      </c>
      <c r="F61">
        <v>2.77</v>
      </c>
      <c r="G61">
        <v>0.59</v>
      </c>
    </row>
    <row r="62" spans="1:8" x14ac:dyDescent="0.25">
      <c r="A62" t="s">
        <v>51</v>
      </c>
      <c r="B62" s="244">
        <v>2041893568.29</v>
      </c>
      <c r="C62" s="244">
        <v>1930222536.48</v>
      </c>
      <c r="D62" s="244">
        <v>39709785.649999999</v>
      </c>
      <c r="E62" s="244">
        <v>40828727</v>
      </c>
      <c r="F62">
        <v>2.74</v>
      </c>
      <c r="G62">
        <v>0.97</v>
      </c>
    </row>
    <row r="63" spans="1:8" x14ac:dyDescent="0.25">
      <c r="A63" t="s">
        <v>63</v>
      </c>
      <c r="B63" s="244">
        <v>1137808483</v>
      </c>
      <c r="C63" s="244">
        <v>1063640518.6</v>
      </c>
      <c r="D63" s="244">
        <v>21836975.329999998</v>
      </c>
      <c r="E63" s="244">
        <v>27381698</v>
      </c>
      <c r="F63">
        <v>2.71</v>
      </c>
      <c r="G63">
        <v>0.8</v>
      </c>
    </row>
    <row r="64" spans="1:8" x14ac:dyDescent="0.25">
      <c r="A64" t="s">
        <v>19</v>
      </c>
      <c r="B64" s="244">
        <v>1468177330.9100001</v>
      </c>
      <c r="C64" s="244">
        <v>1389971452.72</v>
      </c>
      <c r="D64" s="244">
        <v>52942310.960000001</v>
      </c>
      <c r="E64" s="244">
        <v>29748591</v>
      </c>
      <c r="F64">
        <v>2.63</v>
      </c>
      <c r="G64">
        <v>1.78</v>
      </c>
    </row>
    <row r="65" spans="1:9" x14ac:dyDescent="0.25">
      <c r="A65" t="s">
        <v>37</v>
      </c>
      <c r="B65" s="244">
        <v>1263141065.8299999</v>
      </c>
      <c r="C65" s="244">
        <v>1201585816.24</v>
      </c>
      <c r="D65" s="244">
        <v>23714189.77</v>
      </c>
      <c r="E65" s="244">
        <v>23759923</v>
      </c>
      <c r="F65">
        <v>2.59</v>
      </c>
      <c r="G65">
        <v>1</v>
      </c>
    </row>
    <row r="66" spans="1:9" x14ac:dyDescent="0.25">
      <c r="A66" t="s">
        <v>32</v>
      </c>
      <c r="B66" s="244">
        <v>521018910</v>
      </c>
      <c r="C66" s="244">
        <v>490864589.75</v>
      </c>
      <c r="D66" s="244">
        <v>9183569.1600000001</v>
      </c>
      <c r="E66" s="244">
        <v>11904978</v>
      </c>
      <c r="F66">
        <v>2.5299999999999998</v>
      </c>
      <c r="G66">
        <v>0.77</v>
      </c>
    </row>
    <row r="67" spans="1:9" x14ac:dyDescent="0.25">
      <c r="A67" t="s">
        <v>18</v>
      </c>
      <c r="B67" s="244">
        <v>816303820.10000002</v>
      </c>
      <c r="C67" s="244">
        <v>772705659.38</v>
      </c>
      <c r="D67" s="244">
        <v>25461927.48</v>
      </c>
      <c r="E67" s="244">
        <v>17644408</v>
      </c>
      <c r="F67">
        <v>2.4700000000000002</v>
      </c>
      <c r="G67">
        <v>1.44</v>
      </c>
    </row>
    <row r="68" spans="1:9" x14ac:dyDescent="0.25">
      <c r="A68" t="s">
        <v>34</v>
      </c>
      <c r="B68" s="244">
        <v>1463439983.99</v>
      </c>
      <c r="C68" s="244">
        <v>1378522346.95</v>
      </c>
      <c r="D68" s="244">
        <v>43451053.030000001</v>
      </c>
      <c r="E68" s="244">
        <v>34632226</v>
      </c>
      <c r="F68">
        <v>2.4500000000000002</v>
      </c>
      <c r="G68">
        <v>1.25</v>
      </c>
    </row>
    <row r="69" spans="1:9" x14ac:dyDescent="0.25">
      <c r="A69" t="s">
        <v>17</v>
      </c>
      <c r="B69" s="244">
        <v>408655001</v>
      </c>
      <c r="C69" s="244">
        <v>385798250.51999998</v>
      </c>
      <c r="D69" s="244">
        <v>9633226.2899999991</v>
      </c>
      <c r="E69" s="244">
        <v>9830683</v>
      </c>
      <c r="F69">
        <v>2.33</v>
      </c>
      <c r="G69">
        <v>0.98</v>
      </c>
    </row>
    <row r="70" spans="1:9" x14ac:dyDescent="0.25">
      <c r="A70" t="s">
        <v>58</v>
      </c>
      <c r="B70" s="244">
        <v>249254814</v>
      </c>
      <c r="C70" s="244">
        <v>237128298.05000001</v>
      </c>
      <c r="D70" s="244">
        <v>3684511.84</v>
      </c>
      <c r="E70" s="244">
        <v>5490163</v>
      </c>
      <c r="F70">
        <v>2.21</v>
      </c>
      <c r="G70">
        <v>0.67</v>
      </c>
    </row>
    <row r="71" spans="1:9" x14ac:dyDescent="0.25">
      <c r="A71" t="s">
        <v>41</v>
      </c>
      <c r="B71" s="244">
        <v>104531217</v>
      </c>
      <c r="C71" s="244">
        <v>98125664.189999998</v>
      </c>
      <c r="D71" s="244">
        <v>4952820.08</v>
      </c>
      <c r="E71" s="244">
        <v>2919374</v>
      </c>
      <c r="F71">
        <v>2.19</v>
      </c>
      <c r="G71">
        <v>1.7</v>
      </c>
    </row>
    <row r="72" spans="1:9" x14ac:dyDescent="0.25">
      <c r="A72" t="s">
        <v>57</v>
      </c>
      <c r="B72" s="244">
        <v>2950491414.54</v>
      </c>
      <c r="C72" s="244">
        <v>2798050511.3200002</v>
      </c>
      <c r="D72" s="244">
        <v>59015953.539999999</v>
      </c>
      <c r="E72" s="244">
        <v>71178309</v>
      </c>
      <c r="F72">
        <v>2.14</v>
      </c>
      <c r="G72">
        <v>0.83</v>
      </c>
    </row>
    <row r="73" spans="1:9" x14ac:dyDescent="0.25">
      <c r="A73" t="s">
        <v>15</v>
      </c>
      <c r="B73" s="244">
        <v>1108314599.5</v>
      </c>
      <c r="C73" s="244">
        <v>1059194517.3099999</v>
      </c>
      <c r="D73" s="244">
        <v>19946943.219999999</v>
      </c>
      <c r="E73" s="244">
        <v>23039495</v>
      </c>
      <c r="F73">
        <v>2.13</v>
      </c>
      <c r="G73">
        <v>0.87</v>
      </c>
    </row>
    <row r="74" spans="1:9" x14ac:dyDescent="0.25">
      <c r="A74" t="s">
        <v>42</v>
      </c>
      <c r="B74" s="244">
        <v>355494147</v>
      </c>
      <c r="C74" s="244">
        <v>335364115.31999999</v>
      </c>
      <c r="D74" s="244">
        <v>10245882.369999999</v>
      </c>
      <c r="E74" s="244">
        <v>9435207</v>
      </c>
      <c r="F74">
        <v>2.13</v>
      </c>
      <c r="G74">
        <v>1.0900000000000001</v>
      </c>
    </row>
    <row r="75" spans="1:9" x14ac:dyDescent="0.25">
      <c r="A75" t="s">
        <v>22</v>
      </c>
      <c r="B75" s="244">
        <v>81043860</v>
      </c>
      <c r="C75" s="244">
        <v>75255882.549999997</v>
      </c>
      <c r="D75" s="244">
        <v>1651360.93</v>
      </c>
      <c r="E75" s="244">
        <v>2796424</v>
      </c>
      <c r="F75">
        <v>2.0699999999999998</v>
      </c>
      <c r="G75">
        <v>0.59</v>
      </c>
    </row>
    <row r="76" spans="1:9" x14ac:dyDescent="0.25">
      <c r="A76" t="s">
        <v>31</v>
      </c>
      <c r="B76" s="244">
        <v>1227877221</v>
      </c>
      <c r="C76" s="244">
        <v>1181757764.4100001</v>
      </c>
      <c r="D76" s="244">
        <v>20706400.870000001</v>
      </c>
      <c r="E76" s="244">
        <v>22761731</v>
      </c>
      <c r="F76">
        <v>2.0299999999999998</v>
      </c>
      <c r="G76">
        <v>0.91</v>
      </c>
    </row>
    <row r="77" spans="1:9" x14ac:dyDescent="0.25">
      <c r="A77" t="s">
        <v>49</v>
      </c>
      <c r="B77" s="244">
        <v>699324314.05999994</v>
      </c>
      <c r="C77" s="244">
        <v>674347919.73000002</v>
      </c>
      <c r="D77" s="244">
        <v>10748663.92</v>
      </c>
      <c r="E77" s="244">
        <v>14024709</v>
      </c>
      <c r="F77">
        <v>1.78</v>
      </c>
      <c r="G77">
        <v>0.77</v>
      </c>
    </row>
    <row r="78" spans="1:9" x14ac:dyDescent="0.25">
      <c r="A78" t="s">
        <v>48</v>
      </c>
      <c r="B78" s="244">
        <v>1985336227.8699999</v>
      </c>
      <c r="C78" s="244">
        <v>1912314101.1600001</v>
      </c>
      <c r="D78" s="244">
        <v>42155153.490000002</v>
      </c>
      <c r="E78" s="244">
        <v>45588088</v>
      </c>
      <c r="F78">
        <v>1.6</v>
      </c>
      <c r="G78">
        <v>0.92</v>
      </c>
    </row>
    <row r="79" spans="1:9" x14ac:dyDescent="0.25">
      <c r="A79" t="s">
        <v>50</v>
      </c>
      <c r="B79" s="244">
        <v>557171086.30999994</v>
      </c>
      <c r="C79" s="244">
        <v>538777145.30999994</v>
      </c>
      <c r="D79" s="244">
        <v>15008065.6</v>
      </c>
      <c r="E79" s="244">
        <v>11761407</v>
      </c>
      <c r="F79">
        <v>1.56</v>
      </c>
      <c r="G79">
        <v>1.28</v>
      </c>
    </row>
    <row r="80" spans="1:9" x14ac:dyDescent="0.25">
      <c r="A80" t="s">
        <v>240</v>
      </c>
      <c r="B80" t="s">
        <v>240</v>
      </c>
      <c r="C80" t="s">
        <v>149</v>
      </c>
      <c r="D80" t="s">
        <v>149</v>
      </c>
      <c r="E80" t="s">
        <v>149</v>
      </c>
      <c r="F80" t="s">
        <v>243</v>
      </c>
      <c r="G80" t="s">
        <v>240</v>
      </c>
      <c r="H80" t="s">
        <v>248</v>
      </c>
      <c r="I80" t="s">
        <v>245</v>
      </c>
    </row>
    <row r="81" spans="1:7" x14ac:dyDescent="0.25">
      <c r="A81" t="s">
        <v>158</v>
      </c>
      <c r="B81" s="244">
        <v>44484767226.400002</v>
      </c>
      <c r="C81" s="244">
        <v>41271730007.389999</v>
      </c>
      <c r="D81" s="244">
        <v>958281581.30999994</v>
      </c>
      <c r="E81" s="244">
        <v>984102596</v>
      </c>
      <c r="F81">
        <v>3.26</v>
      </c>
      <c r="G81">
        <v>0.97</v>
      </c>
    </row>
  </sheetData>
  <conditionalFormatting sqref="F7:F12 AY16 G11:BC12">
    <cfRule type="containsText" dxfId="1" priority="4" stopIfTrue="1" operator="containsText" text="OK">
      <formula>NOT(ISERROR(SEARCH("OK",F7)))</formula>
    </cfRule>
  </conditionalFormatting>
  <conditionalFormatting sqref="F7:F12 G11:BC12">
    <cfRule type="notContainsText" dxfId="0" priority="1" stopIfTrue="1" operator="notContains" text="OK">
      <formula>ISERROR(SEARCH("OK",F7))</formula>
    </cfRule>
  </conditionalFormatting>
  <pageMargins left="0.7" right="0.7" top="0.75" bottom="0.75" header="0.3" footer="0.3"/>
  <pageSetup orientation="portrait" r:id="rId1"/>
  <ignoredErrors>
    <ignoredError sqref="AR11" evalErro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17F7318B9D64F9E788F4487AE0689" ma:contentTypeVersion="0" ma:contentTypeDescription="Create a new document." ma:contentTypeScope="" ma:versionID="6b2e1c99b61e31fb8685f1b17f3a6a2e">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321A76-64E0-4BD9-BE66-6A9C6613CC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CC58080D-7858-4E2C-8B98-00226CA23A26}">
  <ds:schemaRefs>
    <ds:schemaRef ds:uri="http://schemas.microsoft.com/sharepoint/v3/contenttype/forms"/>
  </ds:schemaRefs>
</ds:datastoreItem>
</file>

<file path=customXml/itemProps3.xml><?xml version="1.0" encoding="utf-8"?>
<ds:datastoreItem xmlns:ds="http://schemas.openxmlformats.org/officeDocument/2006/customXml" ds:itemID="{A3ECE182-EC94-4229-BCB9-D84D22A1EFF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8</vt:i4>
      </vt:variant>
    </vt:vector>
  </HeadingPairs>
  <TitlesOfParts>
    <vt:vector size="40" baseType="lpstr">
      <vt:lpstr>Sep'24</vt:lpstr>
      <vt:lpstr>Oct'24</vt:lpstr>
      <vt:lpstr>Nov'24</vt:lpstr>
      <vt:lpstr>Dec'24</vt:lpstr>
      <vt:lpstr>Jan'25</vt:lpstr>
      <vt:lpstr>Feb'25</vt:lpstr>
      <vt:lpstr>Mar'25</vt:lpstr>
      <vt:lpstr>Apr'25</vt:lpstr>
      <vt:lpstr>May'25</vt:lpstr>
      <vt:lpstr>Jun'25</vt:lpstr>
      <vt:lpstr>Jul'25</vt:lpstr>
      <vt:lpstr>Aug'25</vt:lpstr>
      <vt:lpstr>Sep'25</vt:lpstr>
      <vt:lpstr>Oct'25</vt:lpstr>
      <vt:lpstr>Nov'25</vt:lpstr>
      <vt:lpstr>Dec'25</vt:lpstr>
      <vt:lpstr>Jan'26</vt:lpstr>
      <vt:lpstr>Feb'26</vt:lpstr>
      <vt:lpstr>Mar'26</vt:lpstr>
      <vt:lpstr>Apr'26</vt:lpstr>
      <vt:lpstr>May'26</vt:lpstr>
      <vt:lpstr>Jun'26</vt:lpstr>
      <vt:lpstr>Jul'26</vt:lpstr>
      <vt:lpstr>Aug'26</vt:lpstr>
      <vt:lpstr>Sep'26</vt:lpstr>
      <vt:lpstr>US Chart</vt:lpstr>
      <vt:lpstr>State Chart</vt:lpstr>
      <vt:lpstr>Rankings</vt:lpstr>
      <vt:lpstr>States by Mo</vt:lpstr>
      <vt:lpstr>Column Descriptions</vt:lpstr>
      <vt:lpstr>template</vt:lpstr>
      <vt:lpstr>LOCCS Import</vt:lpstr>
      <vt:lpstr>CurrentFY</vt:lpstr>
      <vt:lpstr>FY_ratios</vt:lpstr>
      <vt:lpstr>Rankings!Print_Area</vt:lpstr>
      <vt:lpstr>'State Chart'!Print_Area</vt:lpstr>
      <vt:lpstr>'States by Mo'!Print_Area</vt:lpstr>
      <vt:lpstr>'US Chart'!Print_Area</vt:lpstr>
      <vt:lpstr>'State Chart'!Print_Titles</vt:lpstr>
      <vt:lpstr>'States by Mo'!Print_Titles</vt:lpstr>
    </vt:vector>
  </TitlesOfParts>
  <Manager>Diane Lobasso</Manager>
  <Company>Housing and Urban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State CDBG Timely Expenditure Report</dc:title>
  <dc:creator>HUD CPD</dc:creator>
  <cp:lastModifiedBy>Jenna Hampton</cp:lastModifiedBy>
  <cp:lastPrinted>2014-09-03T14:24:36Z</cp:lastPrinted>
  <dcterms:created xsi:type="dcterms:W3CDTF">2007-11-01T14:33:16Z</dcterms:created>
  <dcterms:modified xsi:type="dcterms:W3CDTF">2026-10-13T14:50:23Z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