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drawings/drawing1.xml" ContentType="application/vnd.openxmlformats-officedocument.drawing+xml"/>
  <Override PartName="/xl/comments2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27.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xml"/>
  <Override PartName="/xl/ctrlProps/ctrlProp1.xml" ContentType="application/vnd.ms-excel.controlpropertie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coscda-my.sharepoint.com/personal/jhampton_coscda_org/Documents/Policy Topics/Community Development/"/>
    </mc:Choice>
  </mc:AlternateContent>
  <xr:revisionPtr revIDLastSave="0" documentId="8_{8A0AE96D-DE01-41F0-9177-685C5B281C22}" xr6:coauthVersionLast="47" xr6:coauthVersionMax="47" xr10:uidLastSave="{00000000-0000-0000-0000-000000000000}"/>
  <bookViews>
    <workbookView xWindow="-110" yWindow="-110" windowWidth="19420" windowHeight="11500" tabRatio="915" firstSheet="21" activeTab="24" xr2:uid="{34EC3680-9F3C-4DFF-B220-B67AD2395462}"/>
  </bookViews>
  <sheets>
    <sheet name="Apr'24" sheetId="249" r:id="rId1"/>
    <sheet name="May'24" sheetId="250" r:id="rId2"/>
    <sheet name="Jun'24" sheetId="251" r:id="rId3"/>
    <sheet name="Jul'24" sheetId="252" r:id="rId4"/>
    <sheet name="Aug'24" sheetId="253" r:id="rId5"/>
    <sheet name="Sep'24" sheetId="254" r:id="rId6"/>
    <sheet name="Oct'24" sheetId="255" r:id="rId7"/>
    <sheet name="Nov'24" sheetId="256" r:id="rId8"/>
    <sheet name="Dec'24" sheetId="257" r:id="rId9"/>
    <sheet name="Jan'25" sheetId="258" r:id="rId10"/>
    <sheet name="Feb'25" sheetId="259" r:id="rId11"/>
    <sheet name="Mar'25" sheetId="260" r:id="rId12"/>
    <sheet name="Apr'25" sheetId="262" r:id="rId13"/>
    <sheet name="May'25" sheetId="263" r:id="rId14"/>
    <sheet name="Jun'25" sheetId="264" r:id="rId15"/>
    <sheet name="Jul'25" sheetId="265" r:id="rId16"/>
    <sheet name="Aug'25" sheetId="266" r:id="rId17"/>
    <sheet name="Sep'25" sheetId="267" r:id="rId18"/>
    <sheet name="Oct'25" sheetId="268" r:id="rId19"/>
    <sheet name="Nov'25" sheetId="269" r:id="rId20"/>
    <sheet name="Dec'25" sheetId="270" r:id="rId21"/>
    <sheet name="Jan'26" sheetId="271" r:id="rId22"/>
    <sheet name="Feb'26" sheetId="272" r:id="rId23"/>
    <sheet name="Mar'26" sheetId="273" r:id="rId24"/>
    <sheet name="Apr'26" sheetId="274" r:id="rId25"/>
    <sheet name="US Chart" sheetId="3" r:id="rId26"/>
    <sheet name="State Chart" sheetId="4" r:id="rId27"/>
    <sheet name="Rankings" sheetId="5" r:id="rId28"/>
    <sheet name="States by Mo" sheetId="8" r:id="rId29"/>
    <sheet name="Column Descriptions" sheetId="58" r:id="rId30"/>
    <sheet name="template" sheetId="34" state="hidden" r:id="rId31"/>
    <sheet name="LOCCS Import" sheetId="36" state="hidden" r:id="rId32"/>
  </sheets>
  <externalReferences>
    <externalReference r:id="rId33"/>
  </externalReferences>
  <definedNames>
    <definedName name="_xlnm._FilterDatabase" localSheetId="12" hidden="1">'Apr''25'!$A$2:$Q$52</definedName>
    <definedName name="_xlnm._FilterDatabase" localSheetId="22" hidden="1">'Feb''26'!$A$2:$Q$52</definedName>
    <definedName name="_xlnm._FilterDatabase" localSheetId="19" hidden="1">'Nov''25'!$A$2:$Q$52</definedName>
    <definedName name="_xlnm._FilterDatabase" localSheetId="27" hidden="1">Rankings!$A$2:$J$2</definedName>
    <definedName name="_xlnm._FilterDatabase" localSheetId="28" hidden="1">'States by Mo'!$A$2:$BF$2</definedName>
    <definedName name="Assumptions">#REF!</definedName>
    <definedName name="Current_month">#REF!</definedName>
    <definedName name="CurrentFY">'US Chart'!$Z$4</definedName>
    <definedName name="FY_ratios" localSheetId="0">'[1]States by Mo'!$A$3:$BE$53</definedName>
    <definedName name="FY_ratios" localSheetId="12">'[1]States by Mo'!$A$3:$BE$53</definedName>
    <definedName name="FY_ratios" localSheetId="24">'[1]States by Mo'!$A$3:$BE$53</definedName>
    <definedName name="FY_ratios" localSheetId="4">'[1]States by Mo'!$A$3:$BE$53</definedName>
    <definedName name="FY_ratios" localSheetId="16">'[1]States by Mo'!$A$3:$BE$53</definedName>
    <definedName name="FY_ratios" localSheetId="8">'[1]States by Mo'!$A$3:$BE$53</definedName>
    <definedName name="FY_ratios" localSheetId="20">'[1]States by Mo'!$A$3:$BE$53</definedName>
    <definedName name="FY_ratios" localSheetId="10">'[1]States by Mo'!$A$3:$BE$53</definedName>
    <definedName name="FY_ratios" localSheetId="22">'[1]States by Mo'!$A$3:$BE$53</definedName>
    <definedName name="FY_ratios" localSheetId="9">'[1]States by Mo'!$A$3:$BE$53</definedName>
    <definedName name="FY_ratios" localSheetId="21">'[1]States by Mo'!$A$3:$BE$53</definedName>
    <definedName name="FY_ratios" localSheetId="3">'[1]States by Mo'!$A$3:$BE$53</definedName>
    <definedName name="FY_ratios" localSheetId="15">'[1]States by Mo'!$A$3:$BE$53</definedName>
    <definedName name="FY_ratios" localSheetId="2">'[1]States by Mo'!$A$3:$BE$53</definedName>
    <definedName name="FY_ratios" localSheetId="14">'[1]States by Mo'!$A$3:$BE$53</definedName>
    <definedName name="FY_ratios" localSheetId="11">'[1]States by Mo'!$A$3:$BE$53</definedName>
    <definedName name="FY_ratios" localSheetId="23">'[1]States by Mo'!$A$3:$BE$53</definedName>
    <definedName name="FY_ratios" localSheetId="1">'[1]States by Mo'!$A$3:$BE$53</definedName>
    <definedName name="FY_ratios" localSheetId="13">'[1]States by Mo'!$A$3:$BE$53</definedName>
    <definedName name="FY_ratios" localSheetId="7">'[1]States by Mo'!$A$3:$BE$53</definedName>
    <definedName name="FY_ratios" localSheetId="19">'[1]States by Mo'!$A$3:$BE$53</definedName>
    <definedName name="FY_ratios" localSheetId="6">'[1]States by Mo'!$A$3:$BE$53</definedName>
    <definedName name="FY_ratios" localSheetId="18">'[1]States by Mo'!$A$3:$BE$53</definedName>
    <definedName name="FY_ratios" localSheetId="5">'[1]States by Mo'!$A$3:$BE$53</definedName>
    <definedName name="FY_ratios" localSheetId="17">'[1]States by Mo'!$A$3:$BE$53</definedName>
    <definedName name="FY_ratios" localSheetId="30">'[1]States by Mo'!$A$3:$BE$53</definedName>
    <definedName name="FY_ratios">'States by Mo'!$A$3:$AE$53</definedName>
    <definedName name="_xlnm.Print_Area" localSheetId="27">Rankings!$A$1:$J$112</definedName>
    <definedName name="_xlnm.Print_Area" localSheetId="26">'State Chart'!$A$40:$Z$75</definedName>
    <definedName name="_xlnm.Print_Area" localSheetId="28">'States by Mo'!$A$1:$BF$55</definedName>
    <definedName name="_xlnm.Print_Area" localSheetId="25">'US Chart'!$A$1:$Z$44</definedName>
    <definedName name="_xlnm.Print_Titles" localSheetId="26">'State Chart'!$2:$7</definedName>
    <definedName name="_xlnm.Print_Titles" localSheetId="28">'States by Mo'!$A:$A</definedName>
    <definedName name="StateAbbrev">#REF!</definedName>
    <definedName name="StateNames" localSheetId="0">[1]tables!$A$2:$F$51</definedName>
    <definedName name="StateNames" localSheetId="12">[1]tables!$A$2:$F$51</definedName>
    <definedName name="StateNames" localSheetId="24">[1]tables!$A$2:$F$51</definedName>
    <definedName name="StateNames" localSheetId="4">[1]tables!$A$2:$F$51</definedName>
    <definedName name="StateNames" localSheetId="16">[1]tables!$A$2:$F$51</definedName>
    <definedName name="StateNames" localSheetId="8">[1]tables!$A$2:$F$51</definedName>
    <definedName name="StateNames" localSheetId="20">[1]tables!$A$2:$F$51</definedName>
    <definedName name="StateNames" localSheetId="10">[1]tables!$A$2:$F$51</definedName>
    <definedName name="StateNames" localSheetId="22">[1]tables!$A$2:$F$51</definedName>
    <definedName name="StateNames" localSheetId="9">[1]tables!$A$2:$F$51</definedName>
    <definedName name="StateNames" localSheetId="21">[1]tables!$A$2:$F$51</definedName>
    <definedName name="StateNames" localSheetId="3">[1]tables!$A$2:$F$51</definedName>
    <definedName name="StateNames" localSheetId="15">[1]tables!$A$2:$F$51</definedName>
    <definedName name="StateNames" localSheetId="2">[1]tables!$A$2:$F$51</definedName>
    <definedName name="StateNames" localSheetId="14">[1]tables!$A$2:$F$51</definedName>
    <definedName name="StateNames" localSheetId="11">[1]tables!$A$2:$F$51</definedName>
    <definedName name="StateNames" localSheetId="23">[1]tables!$A$2:$F$51</definedName>
    <definedName name="StateNames" localSheetId="1">[1]tables!$A$2:$F$51</definedName>
    <definedName name="StateNames" localSheetId="13">[1]tables!$A$2:$F$51</definedName>
    <definedName name="StateNames" localSheetId="7">[1]tables!$A$2:$F$51</definedName>
    <definedName name="StateNames" localSheetId="19">[1]tables!$A$2:$F$51</definedName>
    <definedName name="StateNames" localSheetId="6">[1]tables!$A$2:$F$51</definedName>
    <definedName name="StateNames" localSheetId="18">[1]tables!$A$2:$F$51</definedName>
    <definedName name="StateNames" localSheetId="5">[1]tables!$A$2:$F$51</definedName>
    <definedName name="StateNames" localSheetId="17">[1]tables!$A$2:$F$51</definedName>
    <definedName name="StateNames" localSheetId="30">[1]tables!$A$2:$F$51</definedName>
    <definedName name="StateNames">#REF!</definedName>
    <definedName name="Z_28FC536B_D002_46C1_BBDB_2C80C9C1F584_.wvu.Cols" localSheetId="27" hidden="1">Rankings!#REF!,Rankings!#REF!,Rankings!#REF!,Rankings!#REF!,Rankings!#REF!</definedName>
    <definedName name="Z_28FC536B_D002_46C1_BBDB_2C80C9C1F584_.wvu.Cols" localSheetId="28" hidden="1">'States by Mo'!$C:$O,'States by Mo'!$AB:$AC,'States by Mo'!$AE:$AE,'States by Mo'!#REF!,'States by Mo'!#REF!</definedName>
    <definedName name="Z_28FC536B_D002_46C1_BBDB_2C80C9C1F584_.wvu.FilterData" localSheetId="27" hidden="1">Rankings!$A$2:$J$2</definedName>
    <definedName name="Z_28FC536B_D002_46C1_BBDB_2C80C9C1F584_.wvu.FilterData" localSheetId="28" hidden="1">'States by Mo'!$A$2:$AE$55</definedName>
    <definedName name="Z_28FC536B_D002_46C1_BBDB_2C80C9C1F584_.wvu.PrintArea" localSheetId="26" hidden="1">'State Chart'!$A$40:$Z$75</definedName>
    <definedName name="Z_28FC536B_D002_46C1_BBDB_2C80C9C1F584_.wvu.PrintArea" localSheetId="25" hidden="1">'US Chart'!$A$1:$Z$44</definedName>
    <definedName name="Z_28FC536B_D002_46C1_BBDB_2C80C9C1F584_.wvu.PrintTitles" localSheetId="27" hidden="1">Rankings!$A:$A</definedName>
    <definedName name="Z_28FC536B_D002_46C1_BBDB_2C80C9C1F584_.wvu.PrintTitles" localSheetId="26" hidden="1">'State Chart'!$2:$7</definedName>
    <definedName name="Z_28FC536B_D002_46C1_BBDB_2C80C9C1F584_.wvu.PrintTitles" localSheetId="28" hidden="1">'States by Mo'!$A:$A</definedName>
    <definedName name="Z_9EABD39C_C291_4CF5_B682_DCC807F32D0A_.wvu.Cols" localSheetId="27" hidden="1">Rankings!#REF!,Rankings!$D:$D,Rankings!$F:$F,Rankings!$H:$H,Rankings!$J:$J</definedName>
    <definedName name="Z_9EABD39C_C291_4CF5_B682_DCC807F32D0A_.wvu.Cols" localSheetId="28" hidden="1">'States by Mo'!$C:$O,'States by Mo'!$AB:$AC,'States by Mo'!$AE:$AE,'States by Mo'!#REF!,'States by Mo'!#REF!</definedName>
    <definedName name="Z_9EABD39C_C291_4CF5_B682_DCC807F32D0A_.wvu.FilterData" localSheetId="27" hidden="1">Rankings!$A$2:$J$2</definedName>
    <definedName name="Z_9EABD39C_C291_4CF5_B682_DCC807F32D0A_.wvu.FilterData" localSheetId="28" hidden="1">'States by Mo'!$A$2:$AE$55</definedName>
    <definedName name="Z_9EABD39C_C291_4CF5_B682_DCC807F32D0A_.wvu.PrintArea" localSheetId="26" hidden="1">'State Chart'!$A$40:$Z$75</definedName>
    <definedName name="Z_9EABD39C_C291_4CF5_B682_DCC807F32D0A_.wvu.PrintArea" localSheetId="25" hidden="1">'US Chart'!$A$1:$Z$44</definedName>
    <definedName name="Z_9EABD39C_C291_4CF5_B682_DCC807F32D0A_.wvu.PrintTitles" localSheetId="27" hidden="1">Rankings!$A:$A</definedName>
    <definedName name="Z_9EABD39C_C291_4CF5_B682_DCC807F32D0A_.wvu.PrintTitles" localSheetId="26" hidden="1">'State Chart'!$2:$7</definedName>
    <definedName name="Z_9EABD39C_C291_4CF5_B682_DCC807F32D0A_.wvu.PrintTitles" localSheetId="28" hidden="1">'States by Mo'!$A:$A</definedName>
    <definedName name="Z_D0B77BE1_5E62_11D6_980F_00B0D0B215DC_.wvu.Cols" localSheetId="27" hidden="1">Rankings!#REF!</definedName>
    <definedName name="Z_D0B77BE1_5E62_11D6_980F_00B0D0B215DC_.wvu.Cols" localSheetId="28" hidden="1">'States by Mo'!#REF!</definedName>
    <definedName name="Z_D0B77BE1_5E62_11D6_980F_00B0D0B215DC_.wvu.FilterData" localSheetId="27" hidden="1">Rankings!$A$2:$I$2</definedName>
    <definedName name="Z_D0B77BE1_5E62_11D6_980F_00B0D0B215DC_.wvu.FilterData" localSheetId="28" hidden="1">'States by Mo'!$A$2:$AE$52</definedName>
    <definedName name="Z_D0B77BE1_5E62_11D6_980F_00B0D0B215DC_.wvu.PrintArea" localSheetId="0" hidden="1">'Apr''24'!$A$1:$H$53</definedName>
    <definedName name="Z_D0B77BE1_5E62_11D6_980F_00B0D0B215DC_.wvu.PrintArea" localSheetId="12" hidden="1">'Apr''25'!$A$1:$H$53</definedName>
    <definedName name="Z_D0B77BE1_5E62_11D6_980F_00B0D0B215DC_.wvu.PrintArea" localSheetId="24" hidden="1">'Apr''26'!$A$1:$H$53</definedName>
    <definedName name="Z_D0B77BE1_5E62_11D6_980F_00B0D0B215DC_.wvu.PrintArea" localSheetId="4" hidden="1">'Aug''24'!$A$1:$H$53</definedName>
    <definedName name="Z_D0B77BE1_5E62_11D6_980F_00B0D0B215DC_.wvu.PrintArea" localSheetId="16" hidden="1">'Aug''25'!$A$1:$H$53</definedName>
    <definedName name="Z_D0B77BE1_5E62_11D6_980F_00B0D0B215DC_.wvu.PrintArea" localSheetId="8" hidden="1">'Dec''24'!$A$1:$H$53</definedName>
    <definedName name="Z_D0B77BE1_5E62_11D6_980F_00B0D0B215DC_.wvu.PrintArea" localSheetId="20" hidden="1">'Dec''25'!$A$1:$H$53</definedName>
    <definedName name="Z_D0B77BE1_5E62_11D6_980F_00B0D0B215DC_.wvu.PrintArea" localSheetId="10" hidden="1">'Feb''25'!$A$1:$H$53</definedName>
    <definedName name="Z_D0B77BE1_5E62_11D6_980F_00B0D0B215DC_.wvu.PrintArea" localSheetId="22" hidden="1">'Feb''26'!$A$1:$H$53</definedName>
    <definedName name="Z_D0B77BE1_5E62_11D6_980F_00B0D0B215DC_.wvu.PrintArea" localSheetId="9" hidden="1">'Jan''25'!$A$1:$H$53</definedName>
    <definedName name="Z_D0B77BE1_5E62_11D6_980F_00B0D0B215DC_.wvu.PrintArea" localSheetId="21" hidden="1">'Jan''26'!$A$1:$H$53</definedName>
    <definedName name="Z_D0B77BE1_5E62_11D6_980F_00B0D0B215DC_.wvu.PrintArea" localSheetId="3" hidden="1">'Jul''24'!$A$1:$H$53</definedName>
    <definedName name="Z_D0B77BE1_5E62_11D6_980F_00B0D0B215DC_.wvu.PrintArea" localSheetId="15" hidden="1">'Jul''25'!$A$1:$H$53</definedName>
    <definedName name="Z_D0B77BE1_5E62_11D6_980F_00B0D0B215DC_.wvu.PrintArea" localSheetId="2" hidden="1">'Jun''24'!$A$1:$H$53</definedName>
    <definedName name="Z_D0B77BE1_5E62_11D6_980F_00B0D0B215DC_.wvu.PrintArea" localSheetId="14" hidden="1">'Jun''25'!$A$1:$H$53</definedName>
    <definedName name="Z_D0B77BE1_5E62_11D6_980F_00B0D0B215DC_.wvu.PrintArea" localSheetId="11" hidden="1">'Mar''25'!$A$1:$H$53</definedName>
    <definedName name="Z_D0B77BE1_5E62_11D6_980F_00B0D0B215DC_.wvu.PrintArea" localSheetId="23" hidden="1">'Mar''26'!$A$1:$H$53</definedName>
    <definedName name="Z_D0B77BE1_5E62_11D6_980F_00B0D0B215DC_.wvu.PrintArea" localSheetId="1" hidden="1">'May''24'!$A$1:$H$53</definedName>
    <definedName name="Z_D0B77BE1_5E62_11D6_980F_00B0D0B215DC_.wvu.PrintArea" localSheetId="13" hidden="1">'May''25'!$A$1:$H$53</definedName>
    <definedName name="Z_D0B77BE1_5E62_11D6_980F_00B0D0B215DC_.wvu.PrintArea" localSheetId="7" hidden="1">'Nov''24'!$A$1:$H$53</definedName>
    <definedName name="Z_D0B77BE1_5E62_11D6_980F_00B0D0B215DC_.wvu.PrintArea" localSheetId="19" hidden="1">'Nov''25'!$A$1:$H$53</definedName>
    <definedName name="Z_D0B77BE1_5E62_11D6_980F_00B0D0B215DC_.wvu.PrintArea" localSheetId="6" hidden="1">'Oct''24'!$A$1:$H$53</definedName>
    <definedName name="Z_D0B77BE1_5E62_11D6_980F_00B0D0B215DC_.wvu.PrintArea" localSheetId="18" hidden="1">'Oct''25'!$A$1:$H$53</definedName>
    <definedName name="Z_D0B77BE1_5E62_11D6_980F_00B0D0B215DC_.wvu.PrintArea" localSheetId="5" hidden="1">'Sep''24'!$A$1:$H$53</definedName>
    <definedName name="Z_D0B77BE1_5E62_11D6_980F_00B0D0B215DC_.wvu.PrintArea" localSheetId="17" hidden="1">'Sep''25'!$A$1:$H$53</definedName>
    <definedName name="Z_D0B77BE1_5E62_11D6_980F_00B0D0B215DC_.wvu.PrintArea" localSheetId="26" hidden="1">'State Chart'!$A$4:$M$31</definedName>
    <definedName name="Z_D0B77BE1_5E62_11D6_980F_00B0D0B215DC_.wvu.PrintArea" localSheetId="30" hidden="1">template!$A$1:$H$53</definedName>
    <definedName name="Z_D0B77BE1_5E62_11D6_980F_00B0D0B215DC_.wvu.PrintArea" localSheetId="25" hidden="1">'US Chart'!$A$4:$M$32</definedName>
    <definedName name="Z_D0B77BE1_5E62_11D6_980F_00B0D0B215DC_.wvu.PrintTitles" localSheetId="27" hidden="1">Rankings!$A:$A</definedName>
    <definedName name="Z_D0B77BE1_5E62_11D6_980F_00B0D0B215DC_.wvu.PrintTitles" localSheetId="28" hidden="1">'States by Mo'!$A:$A</definedName>
    <definedName name="Z_FD259DEE_5DAB_11D6_980F_00B0D0B215DC_.wvu.FilterData" localSheetId="27" hidden="1">Rankings!$A$2:$I$2</definedName>
    <definedName name="Z_FD259DEE_5DAB_11D6_980F_00B0D0B215DC_.wvu.FilterData" localSheetId="28" hidden="1">'States by Mo'!$A$2:$AE$52</definedName>
    <definedName name="Z_FD259DEE_5DAB_11D6_980F_00B0D0B215DC_.wvu.PrintArea" localSheetId="0" hidden="1">'Apr''24'!$A$1:$H$53</definedName>
    <definedName name="Z_FD259DEE_5DAB_11D6_980F_00B0D0B215DC_.wvu.PrintArea" localSheetId="12" hidden="1">'Apr''25'!$A$1:$H$53</definedName>
    <definedName name="Z_FD259DEE_5DAB_11D6_980F_00B0D0B215DC_.wvu.PrintArea" localSheetId="24" hidden="1">'Apr''26'!$A$1:$H$53</definedName>
    <definedName name="Z_FD259DEE_5DAB_11D6_980F_00B0D0B215DC_.wvu.PrintArea" localSheetId="4" hidden="1">'Aug''24'!$A$1:$H$53</definedName>
    <definedName name="Z_FD259DEE_5DAB_11D6_980F_00B0D0B215DC_.wvu.PrintArea" localSheetId="16" hidden="1">'Aug''25'!$A$1:$H$53</definedName>
    <definedName name="Z_FD259DEE_5DAB_11D6_980F_00B0D0B215DC_.wvu.PrintArea" localSheetId="8" hidden="1">'Dec''24'!$A$1:$H$53</definedName>
    <definedName name="Z_FD259DEE_5DAB_11D6_980F_00B0D0B215DC_.wvu.PrintArea" localSheetId="20" hidden="1">'Dec''25'!$A$1:$H$53</definedName>
    <definedName name="Z_FD259DEE_5DAB_11D6_980F_00B0D0B215DC_.wvu.PrintArea" localSheetId="10" hidden="1">'Feb''25'!$A$1:$H$53</definedName>
    <definedName name="Z_FD259DEE_5DAB_11D6_980F_00B0D0B215DC_.wvu.PrintArea" localSheetId="22" hidden="1">'Feb''26'!$A$1:$H$53</definedName>
    <definedName name="Z_FD259DEE_5DAB_11D6_980F_00B0D0B215DC_.wvu.PrintArea" localSheetId="9" hidden="1">'Jan''25'!$A$1:$H$53</definedName>
    <definedName name="Z_FD259DEE_5DAB_11D6_980F_00B0D0B215DC_.wvu.PrintArea" localSheetId="21" hidden="1">'Jan''26'!$A$1:$H$53</definedName>
    <definedName name="Z_FD259DEE_5DAB_11D6_980F_00B0D0B215DC_.wvu.PrintArea" localSheetId="3" hidden="1">'Jul''24'!$A$1:$H$53</definedName>
    <definedName name="Z_FD259DEE_5DAB_11D6_980F_00B0D0B215DC_.wvu.PrintArea" localSheetId="15" hidden="1">'Jul''25'!$A$1:$H$53</definedName>
    <definedName name="Z_FD259DEE_5DAB_11D6_980F_00B0D0B215DC_.wvu.PrintArea" localSheetId="2" hidden="1">'Jun''24'!$A$1:$H$53</definedName>
    <definedName name="Z_FD259DEE_5DAB_11D6_980F_00B0D0B215DC_.wvu.PrintArea" localSheetId="14" hidden="1">'Jun''25'!$A$1:$H$53</definedName>
    <definedName name="Z_FD259DEE_5DAB_11D6_980F_00B0D0B215DC_.wvu.PrintArea" localSheetId="11" hidden="1">'Mar''25'!$A$1:$H$53</definedName>
    <definedName name="Z_FD259DEE_5DAB_11D6_980F_00B0D0B215DC_.wvu.PrintArea" localSheetId="23" hidden="1">'Mar''26'!$A$1:$H$53</definedName>
    <definedName name="Z_FD259DEE_5DAB_11D6_980F_00B0D0B215DC_.wvu.PrintArea" localSheetId="1" hidden="1">'May''24'!$A$1:$H$53</definedName>
    <definedName name="Z_FD259DEE_5DAB_11D6_980F_00B0D0B215DC_.wvu.PrintArea" localSheetId="13" hidden="1">'May''25'!$A$1:$H$53</definedName>
    <definedName name="Z_FD259DEE_5DAB_11D6_980F_00B0D0B215DC_.wvu.PrintArea" localSheetId="7" hidden="1">'Nov''24'!$A$1:$H$53</definedName>
    <definedName name="Z_FD259DEE_5DAB_11D6_980F_00B0D0B215DC_.wvu.PrintArea" localSheetId="19" hidden="1">'Nov''25'!$A$1:$H$53</definedName>
    <definedName name="Z_FD259DEE_5DAB_11D6_980F_00B0D0B215DC_.wvu.PrintArea" localSheetId="6" hidden="1">'Oct''24'!$A$1:$H$53</definedName>
    <definedName name="Z_FD259DEE_5DAB_11D6_980F_00B0D0B215DC_.wvu.PrintArea" localSheetId="18" hidden="1">'Oct''25'!$A$1:$H$53</definedName>
    <definedName name="Z_FD259DEE_5DAB_11D6_980F_00B0D0B215DC_.wvu.PrintArea" localSheetId="5" hidden="1">'Sep''24'!$A$1:$H$53</definedName>
    <definedName name="Z_FD259DEE_5DAB_11D6_980F_00B0D0B215DC_.wvu.PrintArea" localSheetId="17" hidden="1">'Sep''25'!$A$1:$H$53</definedName>
    <definedName name="Z_FD259DEE_5DAB_11D6_980F_00B0D0B215DC_.wvu.PrintArea" localSheetId="26" hidden="1">'State Chart'!$A$4:$M$31</definedName>
    <definedName name="Z_FD259DEE_5DAB_11D6_980F_00B0D0B215DC_.wvu.PrintArea" localSheetId="30" hidden="1">template!$A$1:$H$53</definedName>
    <definedName name="Z_FD259DEE_5DAB_11D6_980F_00B0D0B215DC_.wvu.PrintArea" localSheetId="25" hidden="1">'US Chart'!$A$4:$M$32</definedName>
    <definedName name="Z_FD259DEE_5DAB_11D6_980F_00B0D0B215DC_.wvu.PrintTitles" localSheetId="27" hidden="1">Rankings!$A:$A</definedName>
    <definedName name="Z_FD259DEE_5DAB_11D6_980F_00B0D0B215DC_.wvu.PrintTitles" localSheetId="28" hidden="1">'States by Mo'!$A:$A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36" l="1"/>
  <c r="B3" i="34"/>
  <c r="C3" i="34"/>
  <c r="E3" i="34"/>
  <c r="I3" i="34" s="1"/>
  <c r="F3" i="34"/>
  <c r="G3" i="34"/>
  <c r="C47" i="5" s="1"/>
  <c r="B4" i="34"/>
  <c r="D4" i="34" s="1"/>
  <c r="C4" i="34"/>
  <c r="E4" i="34"/>
  <c r="F4" i="34"/>
  <c r="G4" i="34"/>
  <c r="C76" i="5" s="1"/>
  <c r="B5" i="34"/>
  <c r="C5" i="34"/>
  <c r="E5" i="34"/>
  <c r="I5" i="34" s="1"/>
  <c r="F5" i="34"/>
  <c r="G5" i="34"/>
  <c r="B6" i="34"/>
  <c r="C6" i="34"/>
  <c r="E6" i="34"/>
  <c r="F6" i="34"/>
  <c r="G6" i="34"/>
  <c r="C90" i="5" s="1"/>
  <c r="B7" i="34"/>
  <c r="C7" i="34"/>
  <c r="E7" i="34"/>
  <c r="I7" i="34" s="1"/>
  <c r="F7" i="34"/>
  <c r="G7" i="34"/>
  <c r="B8" i="34"/>
  <c r="C8" i="34"/>
  <c r="E8" i="34"/>
  <c r="I8" i="34"/>
  <c r="F8" i="34"/>
  <c r="G8" i="34"/>
  <c r="C45" i="5" s="1"/>
  <c r="B9" i="34"/>
  <c r="L11" i="36" s="1"/>
  <c r="C9" i="34"/>
  <c r="E9" i="34"/>
  <c r="F9" i="34"/>
  <c r="G9" i="34"/>
  <c r="B10" i="34"/>
  <c r="D10" i="34" s="1"/>
  <c r="C10" i="34"/>
  <c r="E10" i="34"/>
  <c r="I10" i="34" s="1"/>
  <c r="K10" i="34" s="1"/>
  <c r="M10" i="34" s="1"/>
  <c r="F10" i="34"/>
  <c r="G10" i="34"/>
  <c r="B11" i="34"/>
  <c r="C11" i="34"/>
  <c r="E11" i="34"/>
  <c r="I11" i="34"/>
  <c r="F11" i="34"/>
  <c r="G11" i="34"/>
  <c r="C3" i="5" s="1"/>
  <c r="B12" i="34"/>
  <c r="C12" i="34"/>
  <c r="E12" i="34"/>
  <c r="I12" i="34" s="1"/>
  <c r="F12" i="34"/>
  <c r="G12" i="34"/>
  <c r="AA12" i="8"/>
  <c r="B13" i="34"/>
  <c r="C13" i="34"/>
  <c r="E13" i="34"/>
  <c r="I13" i="34" s="1"/>
  <c r="F13" i="34"/>
  <c r="P12" i="36" s="1"/>
  <c r="G13" i="34"/>
  <c r="B14" i="34"/>
  <c r="D14" i="34" s="1"/>
  <c r="C14" i="34"/>
  <c r="E14" i="34"/>
  <c r="I14" i="34" s="1"/>
  <c r="F14" i="34"/>
  <c r="G14" i="34"/>
  <c r="B15" i="34"/>
  <c r="C15" i="34"/>
  <c r="E15" i="34"/>
  <c r="I15" i="34" s="1"/>
  <c r="F15" i="34"/>
  <c r="G15" i="34"/>
  <c r="B16" i="34"/>
  <c r="C16" i="34"/>
  <c r="E16" i="34"/>
  <c r="I16" i="34" s="1"/>
  <c r="F16" i="34"/>
  <c r="G16" i="34"/>
  <c r="C35" i="5" s="1"/>
  <c r="B17" i="34"/>
  <c r="C17" i="34"/>
  <c r="E17" i="34"/>
  <c r="I17" i="34" s="1"/>
  <c r="F17" i="34"/>
  <c r="G17" i="34"/>
  <c r="C83" i="5" s="1"/>
  <c r="B18" i="34"/>
  <c r="C18" i="34"/>
  <c r="E18" i="34"/>
  <c r="I18" i="34"/>
  <c r="F18" i="34"/>
  <c r="G18" i="34"/>
  <c r="C7" i="5" s="1"/>
  <c r="B19" i="34"/>
  <c r="C19" i="34"/>
  <c r="E19" i="34"/>
  <c r="F19" i="34"/>
  <c r="G19" i="34"/>
  <c r="C48" i="5" s="1"/>
  <c r="B20" i="34"/>
  <c r="C20" i="34"/>
  <c r="E20" i="34"/>
  <c r="I20" i="34" s="1"/>
  <c r="F20" i="34"/>
  <c r="G20" i="34"/>
  <c r="C108" i="5"/>
  <c r="B21" i="34"/>
  <c r="C21" i="34"/>
  <c r="E21" i="34"/>
  <c r="I21" i="34" s="1"/>
  <c r="F21" i="34"/>
  <c r="G21" i="34"/>
  <c r="C84" i="5" s="1"/>
  <c r="B22" i="34"/>
  <c r="C22" i="34"/>
  <c r="D22" i="34" s="1"/>
  <c r="E22" i="34"/>
  <c r="I22" i="34" s="1"/>
  <c r="F22" i="34"/>
  <c r="G22" i="34"/>
  <c r="AA22" i="8" s="1"/>
  <c r="B23" i="34"/>
  <c r="C23" i="34"/>
  <c r="E23" i="34"/>
  <c r="I23" i="34" s="1"/>
  <c r="F23" i="34"/>
  <c r="G23" i="34"/>
  <c r="B24" i="34"/>
  <c r="C24" i="34"/>
  <c r="E24" i="34"/>
  <c r="I24" i="34" s="1"/>
  <c r="F24" i="34"/>
  <c r="G24" i="34"/>
  <c r="B25" i="34"/>
  <c r="C25" i="34"/>
  <c r="E25" i="34"/>
  <c r="I25" i="34" s="1"/>
  <c r="F25" i="34"/>
  <c r="AB12" i="36" s="1"/>
  <c r="G25" i="34"/>
  <c r="C86" i="5"/>
  <c r="B26" i="34"/>
  <c r="C26" i="34"/>
  <c r="E26" i="34"/>
  <c r="I26" i="34"/>
  <c r="F26" i="34"/>
  <c r="AC12" i="36" s="1"/>
  <c r="G26" i="34"/>
  <c r="B27" i="34"/>
  <c r="C27" i="34"/>
  <c r="E27" i="34"/>
  <c r="I27" i="34" s="1"/>
  <c r="F27" i="34"/>
  <c r="G27" i="34"/>
  <c r="AA27" i="8"/>
  <c r="B28" i="34"/>
  <c r="C28" i="34"/>
  <c r="AE11" i="36" s="1"/>
  <c r="E28" i="34"/>
  <c r="I28" i="34"/>
  <c r="F28" i="34"/>
  <c r="G28" i="34"/>
  <c r="B29" i="34"/>
  <c r="AF11" i="36" s="1"/>
  <c r="C29" i="34"/>
  <c r="E29" i="34"/>
  <c r="I29" i="34" s="1"/>
  <c r="F29" i="34"/>
  <c r="G29" i="34"/>
  <c r="C25" i="5"/>
  <c r="B30" i="34"/>
  <c r="C30" i="34"/>
  <c r="E30" i="34"/>
  <c r="I30" i="34"/>
  <c r="F30" i="34"/>
  <c r="G30" i="34"/>
  <c r="B31" i="34"/>
  <c r="C31" i="34"/>
  <c r="D31" i="34" s="1"/>
  <c r="E31" i="34"/>
  <c r="I31" i="34" s="1"/>
  <c r="F31" i="34"/>
  <c r="G31" i="34"/>
  <c r="B32" i="34"/>
  <c r="C32" i="34"/>
  <c r="E32" i="34"/>
  <c r="I32" i="34" s="1"/>
  <c r="F32" i="34"/>
  <c r="G32" i="34"/>
  <c r="B33" i="34"/>
  <c r="C33" i="34"/>
  <c r="D33" i="34" s="1"/>
  <c r="E33" i="34"/>
  <c r="I33" i="34"/>
  <c r="F33" i="34"/>
  <c r="G33" i="34"/>
  <c r="AA33" i="8" s="1"/>
  <c r="B34" i="34"/>
  <c r="D34" i="34" s="1"/>
  <c r="C34" i="34"/>
  <c r="E34" i="34"/>
  <c r="AK12" i="36" s="1"/>
  <c r="F34" i="34"/>
  <c r="G34" i="34"/>
  <c r="B35" i="34"/>
  <c r="D35" i="34" s="1"/>
  <c r="C35" i="34"/>
  <c r="E35" i="34"/>
  <c r="F35" i="34"/>
  <c r="G35" i="34"/>
  <c r="B36" i="34"/>
  <c r="AM11" i="36" s="1"/>
  <c r="C36" i="34"/>
  <c r="E36" i="34"/>
  <c r="F36" i="34"/>
  <c r="G36" i="34"/>
  <c r="AA36" i="8"/>
  <c r="B37" i="34"/>
  <c r="D37" i="34" s="1"/>
  <c r="C37" i="34"/>
  <c r="E37" i="34"/>
  <c r="I37" i="34" s="1"/>
  <c r="F37" i="34"/>
  <c r="G37" i="34"/>
  <c r="B38" i="34"/>
  <c r="C38" i="34"/>
  <c r="E38" i="34"/>
  <c r="I38" i="34" s="1"/>
  <c r="F38" i="34"/>
  <c r="G38" i="34"/>
  <c r="B39" i="34"/>
  <c r="D39" i="34" s="1"/>
  <c r="C39" i="34"/>
  <c r="E39" i="34"/>
  <c r="F39" i="34"/>
  <c r="G39" i="34"/>
  <c r="B40" i="34"/>
  <c r="C40" i="34"/>
  <c r="E40" i="34"/>
  <c r="F40" i="34"/>
  <c r="G40" i="34"/>
  <c r="C6" i="5" s="1"/>
  <c r="B41" i="34"/>
  <c r="C41" i="34"/>
  <c r="E41" i="34"/>
  <c r="F41" i="34"/>
  <c r="G41" i="34"/>
  <c r="B42" i="34"/>
  <c r="C42" i="34"/>
  <c r="E42" i="34"/>
  <c r="I42" i="34"/>
  <c r="F42" i="34"/>
  <c r="G42" i="34"/>
  <c r="B43" i="34"/>
  <c r="C43" i="34"/>
  <c r="D43" i="34" s="1"/>
  <c r="E43" i="34"/>
  <c r="I43" i="34"/>
  <c r="F43" i="34"/>
  <c r="G43" i="34"/>
  <c r="AA43" i="8" s="1"/>
  <c r="C39" i="5"/>
  <c r="B44" i="34"/>
  <c r="C44" i="34"/>
  <c r="D44" i="34" s="1"/>
  <c r="E44" i="34"/>
  <c r="I44" i="34" s="1"/>
  <c r="F44" i="34"/>
  <c r="AU12" i="36" s="1"/>
  <c r="G44" i="34"/>
  <c r="AA44" i="8" s="1"/>
  <c r="B45" i="34"/>
  <c r="C45" i="34"/>
  <c r="E45" i="34"/>
  <c r="F45" i="34"/>
  <c r="G45" i="34"/>
  <c r="C29" i="5"/>
  <c r="B46" i="34"/>
  <c r="C46" i="34"/>
  <c r="E46" i="34"/>
  <c r="I46" i="34" s="1"/>
  <c r="F46" i="34"/>
  <c r="G46" i="34"/>
  <c r="C110" i="5" s="1"/>
  <c r="B47" i="34"/>
  <c r="C47" i="34"/>
  <c r="D47" i="34" s="1"/>
  <c r="E47" i="34"/>
  <c r="I47" i="34"/>
  <c r="F47" i="34"/>
  <c r="G47" i="34"/>
  <c r="B48" i="34"/>
  <c r="C48" i="34"/>
  <c r="D48" i="34" s="1"/>
  <c r="K48" i="34" s="1"/>
  <c r="L48" i="34" s="1"/>
  <c r="E48" i="34"/>
  <c r="I48" i="34"/>
  <c r="F48" i="34"/>
  <c r="G48" i="34"/>
  <c r="AA48" i="8" s="1"/>
  <c r="B49" i="34"/>
  <c r="C49" i="34"/>
  <c r="E49" i="34"/>
  <c r="I49" i="34" s="1"/>
  <c r="F49" i="34"/>
  <c r="G49" i="34"/>
  <c r="C94" i="5" s="1"/>
  <c r="C21" i="5"/>
  <c r="B50" i="34"/>
  <c r="C50" i="34"/>
  <c r="E50" i="34"/>
  <c r="I50" i="34" s="1"/>
  <c r="F50" i="34"/>
  <c r="G50" i="34"/>
  <c r="AA50" i="8" s="1"/>
  <c r="B51" i="34"/>
  <c r="C51" i="34"/>
  <c r="D51" i="34" s="1"/>
  <c r="E51" i="34"/>
  <c r="I51" i="34"/>
  <c r="F51" i="34"/>
  <c r="G51" i="34"/>
  <c r="AA51" i="8" s="1"/>
  <c r="B52" i="34"/>
  <c r="BC11" i="36" s="1"/>
  <c r="C52" i="34"/>
  <c r="E52" i="34"/>
  <c r="I52" i="34" s="1"/>
  <c r="F52" i="34"/>
  <c r="G52" i="34"/>
  <c r="B53" i="34"/>
  <c r="C53" i="34"/>
  <c r="E53" i="34"/>
  <c r="I53" i="34" s="1"/>
  <c r="F53" i="34"/>
  <c r="G53" i="34"/>
  <c r="AA53" i="8" s="1"/>
  <c r="Y6" i="3" s="1"/>
  <c r="H53" i="34"/>
  <c r="BD53" i="8" s="1"/>
  <c r="Y8" i="3" s="1"/>
  <c r="H52" i="34"/>
  <c r="H51" i="34"/>
  <c r="H50" i="34"/>
  <c r="G4" i="5" s="1"/>
  <c r="H49" i="34"/>
  <c r="BD49" i="8" s="1"/>
  <c r="H48" i="34"/>
  <c r="H47" i="34"/>
  <c r="BD47" i="8" s="1"/>
  <c r="H46" i="34"/>
  <c r="G27" i="5" s="1"/>
  <c r="H45" i="34"/>
  <c r="G97" i="5"/>
  <c r="H44" i="34"/>
  <c r="H43" i="34"/>
  <c r="H42" i="34"/>
  <c r="AS12" i="36" s="1"/>
  <c r="H41" i="34"/>
  <c r="BD41" i="8" s="1"/>
  <c r="H40" i="34"/>
  <c r="BD40" i="8" s="1"/>
  <c r="G6" i="5"/>
  <c r="H39" i="34"/>
  <c r="G38" i="5" s="1"/>
  <c r="BD39" i="8"/>
  <c r="H38" i="34"/>
  <c r="H37" i="34"/>
  <c r="H36" i="34"/>
  <c r="G24" i="5" s="1"/>
  <c r="H35" i="34"/>
  <c r="H34" i="34"/>
  <c r="G64" i="5" s="1"/>
  <c r="H33" i="34"/>
  <c r="H32" i="34"/>
  <c r="H31" i="34"/>
  <c r="G12" i="5" s="1"/>
  <c r="H30" i="34"/>
  <c r="G40" i="5"/>
  <c r="G95" i="5"/>
  <c r="H29" i="34"/>
  <c r="H28" i="34"/>
  <c r="H27" i="34"/>
  <c r="BD27" i="8" s="1"/>
  <c r="H26" i="34"/>
  <c r="G80" i="5"/>
  <c r="H25" i="34"/>
  <c r="H24" i="34"/>
  <c r="BD24" i="8" s="1"/>
  <c r="H23" i="34"/>
  <c r="H22" i="34"/>
  <c r="BD22" i="8" s="1"/>
  <c r="H21" i="34"/>
  <c r="H20" i="34"/>
  <c r="G108" i="5" s="1"/>
  <c r="H19" i="34"/>
  <c r="H18" i="34"/>
  <c r="H17" i="34"/>
  <c r="H16" i="34"/>
  <c r="BD16" i="8" s="1"/>
  <c r="H15" i="34"/>
  <c r="H14" i="34"/>
  <c r="H13" i="34"/>
  <c r="G49" i="5" s="1"/>
  <c r="H12" i="34"/>
  <c r="H11" i="34"/>
  <c r="H10" i="34"/>
  <c r="BD10" i="8"/>
  <c r="H9" i="34"/>
  <c r="G19" i="5" s="1"/>
  <c r="H8" i="34"/>
  <c r="H7" i="34"/>
  <c r="H6" i="34"/>
  <c r="H5" i="34"/>
  <c r="H4" i="34"/>
  <c r="H3" i="34"/>
  <c r="C3" i="36"/>
  <c r="Y3" i="36"/>
  <c r="C1" i="36"/>
  <c r="C61" i="5"/>
  <c r="A3" i="4"/>
  <c r="Q17" i="34"/>
  <c r="Q38" i="34"/>
  <c r="Q29" i="34"/>
  <c r="Q45" i="34"/>
  <c r="Q12" i="34"/>
  <c r="Q44" i="34"/>
  <c r="Q5" i="34"/>
  <c r="Q10" i="34"/>
  <c r="Q6" i="34"/>
  <c r="Q33" i="34"/>
  <c r="Q50" i="34"/>
  <c r="Q9" i="34"/>
  <c r="Q40" i="34"/>
  <c r="Q48" i="34"/>
  <c r="Q36" i="34"/>
  <c r="Q21" i="34"/>
  <c r="Q52" i="34"/>
  <c r="Q46" i="34"/>
  <c r="Q32" i="34"/>
  <c r="Q34" i="34"/>
  <c r="Q7" i="34"/>
  <c r="Q20" i="34"/>
  <c r="Q42" i="34"/>
  <c r="Q13" i="34"/>
  <c r="Q41" i="34"/>
  <c r="Q23" i="34"/>
  <c r="Q47" i="34"/>
  <c r="Q3" i="34"/>
  <c r="Q15" i="34"/>
  <c r="Q8" i="34"/>
  <c r="Q19" i="34"/>
  <c r="Q28" i="34"/>
  <c r="Q30" i="34"/>
  <c r="Q27" i="34"/>
  <c r="Q11" i="34"/>
  <c r="Q4" i="34"/>
  <c r="H3" i="4" s="1"/>
  <c r="Q49" i="34"/>
  <c r="Q14" i="34"/>
  <c r="Q25" i="34"/>
  <c r="Q18" i="34"/>
  <c r="Q35" i="34"/>
  <c r="Q22" i="34"/>
  <c r="Q39" i="34"/>
  <c r="Q37" i="34"/>
  <c r="Q43" i="34"/>
  <c r="Q51" i="34"/>
  <c r="Q24" i="34"/>
  <c r="Q26" i="34"/>
  <c r="Q16" i="34"/>
  <c r="Q31" i="34"/>
  <c r="C106" i="5"/>
  <c r="G72" i="5"/>
  <c r="T3" i="36"/>
  <c r="AA4" i="36"/>
  <c r="AG2" i="8"/>
  <c r="D2" i="8"/>
  <c r="O4" i="36"/>
  <c r="F3" i="36"/>
  <c r="P3" i="36"/>
  <c r="O3" i="36"/>
  <c r="I4" i="36"/>
  <c r="AY2" i="8"/>
  <c r="U3" i="36"/>
  <c r="L3" i="36"/>
  <c r="P4" i="36"/>
  <c r="R3" i="36"/>
  <c r="W4" i="36"/>
  <c r="R4" i="36"/>
  <c r="M2" i="8"/>
  <c r="Q4" i="36"/>
  <c r="K4" i="36"/>
  <c r="J3" i="36"/>
  <c r="G4" i="36"/>
  <c r="X2" i="8"/>
  <c r="V5" i="4"/>
  <c r="I3" i="36"/>
  <c r="V3" i="36"/>
  <c r="K3" i="36"/>
  <c r="H3" i="36"/>
  <c r="M4" i="36"/>
  <c r="E3" i="36"/>
  <c r="E4" i="36"/>
  <c r="V4" i="36"/>
  <c r="AL2" i="8"/>
  <c r="N4" i="36"/>
  <c r="Q2" i="8"/>
  <c r="Y4" i="36"/>
  <c r="AA3" i="36"/>
  <c r="Z3" i="36"/>
  <c r="J4" i="36"/>
  <c r="U2" i="8"/>
  <c r="S5" i="3"/>
  <c r="S4" i="3"/>
  <c r="T4" i="36"/>
  <c r="W3" i="36"/>
  <c r="U4" i="36"/>
  <c r="J2" i="8"/>
  <c r="E1" i="36"/>
  <c r="M3" i="36"/>
  <c r="X3" i="36"/>
  <c r="F1" i="36"/>
  <c r="AA2" i="8"/>
  <c r="Y5" i="4"/>
  <c r="BD2" i="8"/>
  <c r="B1" i="34"/>
  <c r="N3" i="36"/>
  <c r="S3" i="36"/>
  <c r="G3" i="36"/>
  <c r="H4" i="36"/>
  <c r="W2" i="8"/>
  <c r="A1" i="34"/>
  <c r="AT2" i="8"/>
  <c r="O2" i="8"/>
  <c r="M5" i="4"/>
  <c r="M5" i="3"/>
  <c r="M4" i="3"/>
  <c r="AR2" i="8"/>
  <c r="J1" i="5"/>
  <c r="O7" i="34"/>
  <c r="B15" i="5"/>
  <c r="O30" i="34"/>
  <c r="B95" i="5"/>
  <c r="O41" i="34"/>
  <c r="J41" i="34"/>
  <c r="AX2" i="8"/>
  <c r="AW2" i="8"/>
  <c r="T2" i="8"/>
  <c r="R5" i="3"/>
  <c r="V2" i="8"/>
  <c r="AQ2" i="8"/>
  <c r="N2" i="8"/>
  <c r="L5" i="3"/>
  <c r="L4" i="3"/>
  <c r="F2" i="8"/>
  <c r="D5" i="3"/>
  <c r="D4" i="3"/>
  <c r="AI2" i="8"/>
  <c r="AK2" i="8"/>
  <c r="H2" i="8"/>
  <c r="F5" i="3"/>
  <c r="F4" i="3"/>
  <c r="F5" i="4"/>
  <c r="T5" i="4"/>
  <c r="T5" i="3"/>
  <c r="T4" i="3"/>
  <c r="B75" i="5"/>
  <c r="AA13" i="8"/>
  <c r="C100" i="5"/>
  <c r="C49" i="5"/>
  <c r="G70" i="5"/>
  <c r="C91" i="5"/>
  <c r="AA34" i="8"/>
  <c r="C26" i="5"/>
  <c r="Z2" i="8"/>
  <c r="X5" i="3"/>
  <c r="X4" i="3"/>
  <c r="BC2" i="8"/>
  <c r="AN2" i="8"/>
  <c r="K2" i="8"/>
  <c r="I5" i="4"/>
  <c r="BD38" i="8"/>
  <c r="D24" i="34"/>
  <c r="K24" i="34" s="1"/>
  <c r="C2" i="5"/>
  <c r="D7" i="34"/>
  <c r="K7" i="34" s="1"/>
  <c r="L7" i="34" s="1"/>
  <c r="C98" i="5"/>
  <c r="C51" i="5"/>
  <c r="C107" i="5"/>
  <c r="BD46" i="8"/>
  <c r="G26" i="5"/>
  <c r="X10" i="3"/>
  <c r="X5" i="4"/>
  <c r="C34" i="5"/>
  <c r="D11" i="34"/>
  <c r="C16" i="5"/>
  <c r="AA40" i="8"/>
  <c r="G28" i="5"/>
  <c r="C97" i="5"/>
  <c r="AA15" i="8"/>
  <c r="C74" i="5"/>
  <c r="C37" i="5"/>
  <c r="G92" i="5"/>
  <c r="C96" i="5"/>
  <c r="C43" i="5"/>
  <c r="C105" i="5"/>
  <c r="AA45" i="8"/>
  <c r="G22" i="5"/>
  <c r="K5" i="3"/>
  <c r="K4" i="3"/>
  <c r="K5" i="4"/>
  <c r="B5" i="4"/>
  <c r="B5" i="3"/>
  <c r="B4" i="3"/>
  <c r="R5" i="4"/>
  <c r="L5" i="4"/>
  <c r="O11" i="34"/>
  <c r="B62" i="5"/>
  <c r="O52" i="34"/>
  <c r="B33" i="5"/>
  <c r="O33" i="34"/>
  <c r="B37" i="5"/>
  <c r="O24" i="34"/>
  <c r="J24" i="34"/>
  <c r="AM2" i="8"/>
  <c r="I5" i="3"/>
  <c r="I4" i="3"/>
  <c r="O32" i="34"/>
  <c r="B66" i="5"/>
  <c r="O28" i="34"/>
  <c r="B8" i="5"/>
  <c r="O36" i="34"/>
  <c r="J36" i="34"/>
  <c r="O51" i="34"/>
  <c r="O18" i="34"/>
  <c r="B70" i="5"/>
  <c r="O43" i="34"/>
  <c r="B39" i="5"/>
  <c r="O29" i="34"/>
  <c r="B107" i="5"/>
  <c r="O8" i="34"/>
  <c r="B45" i="5"/>
  <c r="O10" i="34"/>
  <c r="B28" i="5"/>
  <c r="O20" i="34"/>
  <c r="B108" i="5"/>
  <c r="O37" i="34"/>
  <c r="B102" i="5"/>
  <c r="O40" i="34"/>
  <c r="B6" i="5"/>
  <c r="AA47" i="8"/>
  <c r="C101" i="5"/>
  <c r="C82" i="5"/>
  <c r="AA16" i="8"/>
  <c r="G109" i="5"/>
  <c r="BD5" i="8"/>
  <c r="C92" i="5"/>
  <c r="C19" i="5"/>
  <c r="C10" i="5"/>
  <c r="BD30" i="8"/>
  <c r="BD18" i="8"/>
  <c r="D20" i="34"/>
  <c r="BD13" i="8"/>
  <c r="C62" i="5"/>
  <c r="AA29" i="8"/>
  <c r="AA8" i="8"/>
  <c r="B68" i="5"/>
  <c r="B67" i="5"/>
  <c r="J52" i="34"/>
  <c r="J37" i="34"/>
  <c r="J11" i="34"/>
  <c r="B3" i="5"/>
  <c r="B71" i="5"/>
  <c r="J28" i="34"/>
  <c r="B25" i="5"/>
  <c r="J33" i="34"/>
  <c r="B111" i="5"/>
  <c r="J10" i="34"/>
  <c r="J18" i="34"/>
  <c r="B106" i="5"/>
  <c r="J51" i="34"/>
  <c r="B52" i="5"/>
  <c r="G31" i="5"/>
  <c r="AA17" i="8"/>
  <c r="T11" i="36"/>
  <c r="C36" i="5"/>
  <c r="AA39" i="8"/>
  <c r="C38" i="5"/>
  <c r="C89" i="5"/>
  <c r="AA10" i="8"/>
  <c r="C12" i="5"/>
  <c r="N11" i="36"/>
  <c r="G41" i="5"/>
  <c r="I4" i="34"/>
  <c r="AA25" i="8"/>
  <c r="C24" i="5"/>
  <c r="AA4" i="8"/>
  <c r="Y6" i="4" s="1"/>
  <c r="D19" i="34"/>
  <c r="G85" i="5"/>
  <c r="C20" i="5"/>
  <c r="G100" i="5"/>
  <c r="G46" i="5"/>
  <c r="AA26" i="8"/>
  <c r="G111" i="5"/>
  <c r="BD26" i="8"/>
  <c r="G20" i="5"/>
  <c r="G99" i="5"/>
  <c r="G93" i="5"/>
  <c r="BB11" i="36"/>
  <c r="D13" i="34"/>
  <c r="K13" i="34" s="1"/>
  <c r="O5" i="3"/>
  <c r="O10" i="3"/>
  <c r="O5" i="4"/>
  <c r="H5" i="4"/>
  <c r="H5" i="3"/>
  <c r="H4" i="3"/>
  <c r="R4" i="3"/>
  <c r="R10" i="3"/>
  <c r="J29" i="34"/>
  <c r="O42" i="34"/>
  <c r="O17" i="34"/>
  <c r="O9" i="34"/>
  <c r="O48" i="34"/>
  <c r="O19" i="34"/>
  <c r="O4" i="34"/>
  <c r="O34" i="34"/>
  <c r="BD45" i="8"/>
  <c r="C72" i="5"/>
  <c r="C9" i="5"/>
  <c r="AN12" i="36"/>
  <c r="I34" i="34"/>
  <c r="AA41" i="8"/>
  <c r="C75" i="5"/>
  <c r="AA9" i="8"/>
  <c r="B32" i="5"/>
  <c r="J8" i="34"/>
  <c r="B42" i="5"/>
  <c r="O14" i="34"/>
  <c r="O6" i="34"/>
  <c r="B85" i="5"/>
  <c r="O21" i="34"/>
  <c r="O15" i="34"/>
  <c r="O44" i="34"/>
  <c r="BA2" i="8"/>
  <c r="U5" i="3"/>
  <c r="U5" i="4"/>
  <c r="AU2" i="8"/>
  <c r="R2" i="8"/>
  <c r="J20" i="34"/>
  <c r="C22" i="5"/>
  <c r="B91" i="5"/>
  <c r="O13" i="34"/>
  <c r="B10" i="5"/>
  <c r="O50" i="34"/>
  <c r="O12" i="34"/>
  <c r="O16" i="34"/>
  <c r="C18" i="5"/>
  <c r="S5" i="4"/>
  <c r="D5" i="4"/>
  <c r="O3" i="34"/>
  <c r="J40" i="34"/>
  <c r="G29" i="5"/>
  <c r="O45" i="34"/>
  <c r="J32" i="34"/>
  <c r="B87" i="5"/>
  <c r="B24" i="5"/>
  <c r="C81" i="5"/>
  <c r="B7" i="5"/>
  <c r="J43" i="34"/>
  <c r="B105" i="5"/>
  <c r="B50" i="5"/>
  <c r="O5" i="34"/>
  <c r="O23" i="34"/>
  <c r="O38" i="34"/>
  <c r="O27" i="34"/>
  <c r="O49" i="34"/>
  <c r="B40" i="5"/>
  <c r="I11" i="36"/>
  <c r="O22" i="34"/>
  <c r="Y5" i="3"/>
  <c r="O46" i="34"/>
  <c r="O26" i="34"/>
  <c r="I2" i="8"/>
  <c r="P2" i="8"/>
  <c r="AS2" i="8"/>
  <c r="B79" i="5"/>
  <c r="B69" i="5"/>
  <c r="B30" i="5"/>
  <c r="O31" i="34"/>
  <c r="J7" i="34"/>
  <c r="O25" i="34"/>
  <c r="O39" i="34"/>
  <c r="O47" i="34"/>
  <c r="O35" i="34"/>
  <c r="J30" i="34"/>
  <c r="V5" i="3"/>
  <c r="AZ2" i="8"/>
  <c r="J60" i="5"/>
  <c r="AT11" i="36"/>
  <c r="AP2" i="8"/>
  <c r="L4" i="36"/>
  <c r="S4" i="36"/>
  <c r="Z4" i="36"/>
  <c r="X4" i="36"/>
  <c r="F4" i="36"/>
  <c r="Q3" i="36"/>
  <c r="P11" i="36"/>
  <c r="D9" i="34"/>
  <c r="T10" i="3"/>
  <c r="C33" i="5"/>
  <c r="D46" i="34"/>
  <c r="O11" i="36"/>
  <c r="C88" i="5"/>
  <c r="C17" i="5"/>
  <c r="D5" i="34"/>
  <c r="AH12" i="36"/>
  <c r="D17" i="34"/>
  <c r="K17" i="34" s="1"/>
  <c r="M17" i="34" s="1"/>
  <c r="G96" i="5"/>
  <c r="AD12" i="36"/>
  <c r="G74" i="5"/>
  <c r="BD50" i="8"/>
  <c r="C73" i="5"/>
  <c r="AA14" i="8"/>
  <c r="G69" i="5"/>
  <c r="I19" i="34"/>
  <c r="G21" i="5"/>
  <c r="G94" i="5"/>
  <c r="G48" i="5"/>
  <c r="BD44" i="8"/>
  <c r="AA49" i="8"/>
  <c r="C4" i="5"/>
  <c r="G89" i="5"/>
  <c r="B96" i="5"/>
  <c r="B22" i="5"/>
  <c r="J15" i="34"/>
  <c r="B83" i="5"/>
  <c r="J17" i="34"/>
  <c r="B36" i="5"/>
  <c r="E2" i="8"/>
  <c r="AH2" i="8"/>
  <c r="J35" i="34"/>
  <c r="B81" i="5"/>
  <c r="B13" i="5"/>
  <c r="N5" i="3"/>
  <c r="N5" i="4"/>
  <c r="B29" i="5"/>
  <c r="B97" i="5"/>
  <c r="J45" i="34"/>
  <c r="J21" i="34"/>
  <c r="B14" i="5"/>
  <c r="B84" i="5"/>
  <c r="B44" i="5"/>
  <c r="J42" i="34"/>
  <c r="B78" i="5"/>
  <c r="B23" i="5"/>
  <c r="J47" i="34"/>
  <c r="B101" i="5"/>
  <c r="G5" i="4"/>
  <c r="G5" i="3"/>
  <c r="G4" i="3"/>
  <c r="B82" i="5"/>
  <c r="B35" i="5"/>
  <c r="J16" i="34"/>
  <c r="P5" i="4"/>
  <c r="P5" i="3"/>
  <c r="S2" i="8"/>
  <c r="AV2" i="8"/>
  <c r="J39" i="34"/>
  <c r="B89" i="5"/>
  <c r="B38" i="5"/>
  <c r="J26" i="34"/>
  <c r="B46" i="5"/>
  <c r="B80" i="5"/>
  <c r="B94" i="5"/>
  <c r="J49" i="34"/>
  <c r="B21" i="5"/>
  <c r="B88" i="5"/>
  <c r="B17" i="5"/>
  <c r="J12" i="34"/>
  <c r="B90" i="5"/>
  <c r="B18" i="5"/>
  <c r="J6" i="34"/>
  <c r="B31" i="5"/>
  <c r="B64" i="5"/>
  <c r="J34" i="34"/>
  <c r="K34" i="34"/>
  <c r="L34" i="34" s="1"/>
  <c r="AJ2" i="8"/>
  <c r="G2" i="8"/>
  <c r="L2" i="8"/>
  <c r="AO2" i="8"/>
  <c r="J25" i="34"/>
  <c r="B16" i="5"/>
  <c r="B86" i="5"/>
  <c r="B110" i="5"/>
  <c r="B27" i="5"/>
  <c r="J46" i="34"/>
  <c r="B43" i="5"/>
  <c r="J27" i="34"/>
  <c r="B74" i="5"/>
  <c r="J50" i="34"/>
  <c r="B63" i="5"/>
  <c r="B4" i="5"/>
  <c r="J14" i="34"/>
  <c r="B34" i="5"/>
  <c r="B73" i="5"/>
  <c r="B11" i="5"/>
  <c r="J4" i="34"/>
  <c r="B76" i="5"/>
  <c r="Y10" i="3"/>
  <c r="Y4" i="3"/>
  <c r="Z4" i="3"/>
  <c r="B41" i="5"/>
  <c r="J38" i="34"/>
  <c r="B103" i="5"/>
  <c r="B47" i="5"/>
  <c r="B98" i="5"/>
  <c r="J3" i="34"/>
  <c r="U10" i="3"/>
  <c r="U4" i="3"/>
  <c r="B48" i="5"/>
  <c r="J19" i="34"/>
  <c r="B99" i="5"/>
  <c r="J31" i="34"/>
  <c r="B77" i="5"/>
  <c r="B12" i="5"/>
  <c r="B51" i="5"/>
  <c r="B104" i="5"/>
  <c r="J22" i="34"/>
  <c r="K22" i="34"/>
  <c r="J23" i="34"/>
  <c r="B5" i="5"/>
  <c r="B65" i="5"/>
  <c r="J13" i="34"/>
  <c r="B49" i="5"/>
  <c r="B100" i="5"/>
  <c r="K37" i="34"/>
  <c r="B72" i="5"/>
  <c r="J48" i="34"/>
  <c r="B9" i="5"/>
  <c r="Y2" i="8"/>
  <c r="BB2" i="8"/>
  <c r="V4" i="3"/>
  <c r="V10" i="3"/>
  <c r="B26" i="5"/>
  <c r="B109" i="5"/>
  <c r="J5" i="34"/>
  <c r="J44" i="34"/>
  <c r="K44" i="34"/>
  <c r="M44" i="34" s="1"/>
  <c r="B93" i="5"/>
  <c r="B20" i="5"/>
  <c r="B19" i="5"/>
  <c r="B92" i="5"/>
  <c r="J9" i="34"/>
  <c r="C5" i="3"/>
  <c r="C4" i="3"/>
  <c r="C5" i="4"/>
  <c r="W5" i="3"/>
  <c r="W5" i="4"/>
  <c r="J5" i="4"/>
  <c r="J5" i="3"/>
  <c r="E5" i="4"/>
  <c r="E5" i="3"/>
  <c r="E4" i="3"/>
  <c r="Q5" i="4"/>
  <c r="Q5" i="3"/>
  <c r="N4" i="3"/>
  <c r="N10" i="3"/>
  <c r="G2" i="3"/>
  <c r="S2" i="3"/>
  <c r="P4" i="3"/>
  <c r="P10" i="3"/>
  <c r="Q4" i="3"/>
  <c r="Q10" i="3"/>
  <c r="W10" i="3"/>
  <c r="W4" i="3"/>
  <c r="H2" i="4"/>
  <c r="O2" i="4"/>
  <c r="C69" i="5"/>
  <c r="BD51" i="8"/>
  <c r="AH11" i="36"/>
  <c r="G102" i="5"/>
  <c r="G88" i="5"/>
  <c r="G77" i="5"/>
  <c r="BD31" i="8"/>
  <c r="G17" i="5"/>
  <c r="G75" i="5"/>
  <c r="G10" i="5"/>
  <c r="AG12" i="36"/>
  <c r="G78" i="5"/>
  <c r="AA28" i="8"/>
  <c r="AN11" i="36"/>
  <c r="G44" i="5"/>
  <c r="G82" i="5"/>
  <c r="G110" i="5"/>
  <c r="G101" i="5"/>
  <c r="AA46" i="8"/>
  <c r="C78" i="5"/>
  <c r="AG24" i="8"/>
  <c r="S30" i="8"/>
  <c r="AZ3" i="8"/>
  <c r="AX45" i="8"/>
  <c r="W40" i="8"/>
  <c r="O51" i="8"/>
  <c r="AH22" i="8"/>
  <c r="AI19" i="8"/>
  <c r="F49" i="8"/>
  <c r="P47" i="8"/>
  <c r="G51" i="8"/>
  <c r="J28" i="8"/>
  <c r="AW3" i="8"/>
  <c r="AX8" i="8"/>
  <c r="G20" i="8"/>
  <c r="AS17" i="8"/>
  <c r="U49" i="8"/>
  <c r="K18" i="8"/>
  <c r="U53" i="8"/>
  <c r="N9" i="3"/>
  <c r="BB23" i="8"/>
  <c r="O9" i="3"/>
  <c r="H40" i="8"/>
  <c r="AZ38" i="8"/>
  <c r="AO50" i="8"/>
  <c r="H46" i="8"/>
  <c r="AK45" i="8"/>
  <c r="Q26" i="8"/>
  <c r="S17" i="8"/>
  <c r="AR25" i="8"/>
  <c r="W48" i="8"/>
  <c r="D17" i="8"/>
  <c r="AT20" i="8"/>
  <c r="E13" i="8"/>
  <c r="P21" i="8"/>
  <c r="AI3" i="8"/>
  <c r="AZ4" i="8"/>
  <c r="P39" i="8"/>
  <c r="P15" i="8"/>
  <c r="Z24" i="8"/>
  <c r="BC47" i="8"/>
  <c r="D44" i="8"/>
  <c r="AX17" i="8"/>
  <c r="AN17" i="8"/>
  <c r="Y31" i="8"/>
  <c r="P53" i="8"/>
  <c r="Y3" i="8"/>
  <c r="AX24" i="8"/>
  <c r="Z44" i="8"/>
  <c r="BB39" i="8"/>
  <c r="U17" i="8"/>
  <c r="G32" i="8"/>
  <c r="G28" i="8"/>
  <c r="G47" i="8"/>
  <c r="AZ35" i="8"/>
  <c r="G26" i="8"/>
  <c r="K3" i="8"/>
  <c r="BC48" i="8"/>
  <c r="M37" i="8"/>
  <c r="AM34" i="8"/>
  <c r="AH16" i="8"/>
  <c r="M29" i="8"/>
  <c r="H32" i="8"/>
  <c r="AP44" i="8"/>
  <c r="AH25" i="8"/>
  <c r="AU11" i="8"/>
  <c r="AI22" i="8"/>
  <c r="Q10" i="8"/>
  <c r="AR27" i="8"/>
  <c r="U20" i="8"/>
  <c r="W53" i="8"/>
  <c r="AU34" i="8"/>
  <c r="AL15" i="8"/>
  <c r="AK48" i="8"/>
  <c r="M26" i="8"/>
  <c r="V41" i="8"/>
  <c r="AR9" i="8"/>
  <c r="AL45" i="8"/>
  <c r="AG52" i="8"/>
  <c r="AT23" i="8"/>
  <c r="D49" i="8"/>
  <c r="D43" i="8"/>
  <c r="X45" i="8"/>
  <c r="AH15" i="8"/>
  <c r="I45" i="8"/>
  <c r="AT16" i="8"/>
  <c r="AS32" i="8"/>
  <c r="I7" i="8"/>
  <c r="AK34" i="8"/>
  <c r="H39" i="8"/>
  <c r="J52" i="8"/>
  <c r="BB13" i="8"/>
  <c r="M47" i="8"/>
  <c r="W29" i="8"/>
  <c r="F46" i="8"/>
  <c r="D35" i="8"/>
  <c r="P5" i="34"/>
  <c r="L8" i="8"/>
  <c r="Y32" i="8"/>
  <c r="AU17" i="8"/>
  <c r="F13" i="8"/>
  <c r="AT29" i="8"/>
  <c r="AJ29" i="8"/>
  <c r="AN23" i="8"/>
  <c r="AT4" i="8"/>
  <c r="D51" i="8"/>
  <c r="AV6" i="8"/>
  <c r="D31" i="8"/>
  <c r="W47" i="8"/>
  <c r="T16" i="8"/>
  <c r="AK50" i="8"/>
  <c r="AW7" i="8"/>
  <c r="D20" i="8"/>
  <c r="J48" i="8"/>
  <c r="X39" i="8"/>
  <c r="AV51" i="8"/>
  <c r="O17" i="8"/>
  <c r="BC37" i="8"/>
  <c r="S23" i="8"/>
  <c r="AW51" i="8"/>
  <c r="L25" i="8"/>
  <c r="H28" i="8"/>
  <c r="G34" i="8"/>
  <c r="AW48" i="8"/>
  <c r="P9" i="3"/>
  <c r="AG42" i="8"/>
  <c r="BA28" i="8"/>
  <c r="AU32" i="8"/>
  <c r="D54" i="8"/>
  <c r="J43" i="8"/>
  <c r="AL49" i="8"/>
  <c r="AO44" i="8"/>
  <c r="AS33" i="8"/>
  <c r="BB18" i="8"/>
  <c r="I25" i="8"/>
  <c r="BB50" i="8"/>
  <c r="AN22" i="8"/>
  <c r="D16" i="8"/>
  <c r="G6" i="8"/>
  <c r="AM52" i="8"/>
  <c r="W39" i="8"/>
  <c r="T12" i="8"/>
  <c r="O20" i="8"/>
  <c r="AV7" i="8"/>
  <c r="AY45" i="8"/>
  <c r="AO39" i="8"/>
  <c r="AM11" i="8"/>
  <c r="AR21" i="8"/>
  <c r="E3" i="8"/>
  <c r="O12" i="8"/>
  <c r="AY39" i="8"/>
  <c r="AK8" i="8"/>
  <c r="Q45" i="8"/>
  <c r="E26" i="8"/>
  <c r="AI46" i="8"/>
  <c r="E38" i="8"/>
  <c r="AS49" i="8"/>
  <c r="AP52" i="8"/>
  <c r="AP18" i="8"/>
  <c r="AR47" i="8"/>
  <c r="R49" i="8"/>
  <c r="O4" i="8"/>
  <c r="BA37" i="8"/>
  <c r="Y19" i="8"/>
  <c r="I31" i="8"/>
  <c r="P46" i="34"/>
  <c r="AL41" i="8"/>
  <c r="D39" i="8"/>
  <c r="AI49" i="8"/>
  <c r="AT45" i="8"/>
  <c r="F20" i="8"/>
  <c r="Y45" i="8"/>
  <c r="U48" i="8"/>
  <c r="L35" i="8"/>
  <c r="O14" i="8"/>
  <c r="Z17" i="8"/>
  <c r="AT39" i="8"/>
  <c r="AU45" i="8"/>
  <c r="AR30" i="8"/>
  <c r="AY21" i="8"/>
  <c r="AY23" i="8"/>
  <c r="W51" i="8"/>
  <c r="V45" i="8"/>
  <c r="AU16" i="8"/>
  <c r="S46" i="8"/>
  <c r="AY3" i="8"/>
  <c r="S38" i="8"/>
  <c r="AP29" i="8"/>
  <c r="D53" i="8"/>
  <c r="BB53" i="8"/>
  <c r="AY8" i="8"/>
  <c r="AU10" i="8"/>
  <c r="F31" i="8"/>
  <c r="BC8" i="8"/>
  <c r="Q18" i="8"/>
  <c r="AH36" i="8"/>
  <c r="O19" i="8"/>
  <c r="AU50" i="8"/>
  <c r="AH37" i="8"/>
  <c r="AV19" i="8"/>
  <c r="AM7" i="8"/>
  <c r="J12" i="8"/>
  <c r="U29" i="8"/>
  <c r="M39" i="8"/>
  <c r="W9" i="8"/>
  <c r="H5" i="8"/>
  <c r="P14" i="34"/>
  <c r="E46" i="8"/>
  <c r="AO25" i="8"/>
  <c r="AR32" i="8"/>
  <c r="BC9" i="8"/>
  <c r="AG36" i="8"/>
  <c r="Z48" i="8"/>
  <c r="AG41" i="8"/>
  <c r="AJ3" i="8"/>
  <c r="AS7" i="8"/>
  <c r="AU12" i="8"/>
  <c r="W18" i="8"/>
  <c r="K14" i="8"/>
  <c r="M31" i="8"/>
  <c r="AV14" i="8"/>
  <c r="AN26" i="8"/>
  <c r="AV40" i="8"/>
  <c r="AY24" i="8"/>
  <c r="H15" i="8"/>
  <c r="E22" i="8"/>
  <c r="AI11" i="8"/>
  <c r="AW11" i="8"/>
  <c r="P31" i="8"/>
  <c r="U3" i="8"/>
  <c r="AW47" i="8"/>
  <c r="AZ49" i="8"/>
  <c r="F53" i="8"/>
  <c r="B9" i="3"/>
  <c r="R3" i="8"/>
  <c r="AR53" i="8"/>
  <c r="BA19" i="8"/>
  <c r="K28" i="8"/>
  <c r="AP28" i="8"/>
  <c r="Q3" i="8"/>
  <c r="AS50" i="8"/>
  <c r="AS26" i="8"/>
  <c r="AT13" i="8"/>
  <c r="AO36" i="8"/>
  <c r="AH51" i="8"/>
  <c r="AK17" i="8"/>
  <c r="L50" i="8"/>
  <c r="F34" i="8"/>
  <c r="AK5" i="8"/>
  <c r="L48" i="8"/>
  <c r="AR19" i="8"/>
  <c r="AN5" i="8"/>
  <c r="T36" i="8"/>
  <c r="AN45" i="8"/>
  <c r="AT44" i="8"/>
  <c r="L42" i="8"/>
  <c r="P51" i="8"/>
  <c r="BB48" i="8"/>
  <c r="AN31" i="8"/>
  <c r="Z21" i="8"/>
  <c r="T40" i="8"/>
  <c r="AK18" i="8"/>
  <c r="AG9" i="8"/>
  <c r="AM45" i="8"/>
  <c r="Y26" i="8"/>
  <c r="AI21" i="8"/>
  <c r="F10" i="8"/>
  <c r="AM42" i="8"/>
  <c r="AK9" i="8"/>
  <c r="AN52" i="8"/>
  <c r="E11" i="8"/>
  <c r="V8" i="8"/>
  <c r="K5" i="8"/>
  <c r="X14" i="8"/>
  <c r="BB19" i="8"/>
  <c r="AV36" i="8"/>
  <c r="R5" i="8"/>
  <c r="Q9" i="3"/>
  <c r="W30" i="8"/>
  <c r="AZ16" i="8"/>
  <c r="AJ49" i="8"/>
  <c r="AJ9" i="8"/>
  <c r="AW23" i="8"/>
  <c r="L13" i="8"/>
  <c r="D14" i="8"/>
  <c r="D26" i="8"/>
  <c r="AW49" i="8"/>
  <c r="AX4" i="8"/>
  <c r="Q12" i="8"/>
  <c r="S16" i="8"/>
  <c r="E32" i="8"/>
  <c r="Y10" i="8"/>
  <c r="K17" i="8"/>
  <c r="AW30" i="8"/>
  <c r="J49" i="8"/>
  <c r="BB3" i="8"/>
  <c r="I54" i="8"/>
  <c r="AM25" i="8"/>
  <c r="AX28" i="8"/>
  <c r="E52" i="8"/>
  <c r="W13" i="8"/>
  <c r="M42" i="8"/>
  <c r="F22" i="8"/>
  <c r="V42" i="8"/>
  <c r="T7" i="8"/>
  <c r="F25" i="8"/>
  <c r="J36" i="8"/>
  <c r="D48" i="8"/>
  <c r="Q23" i="8"/>
  <c r="AX18" i="8"/>
  <c r="AN46" i="8"/>
  <c r="AX11" i="8"/>
  <c r="BB33" i="8"/>
  <c r="BB35" i="8"/>
  <c r="AO17" i="8"/>
  <c r="F23" i="8"/>
  <c r="AM14" i="8"/>
  <c r="AK52" i="8"/>
  <c r="H36" i="8"/>
  <c r="R6" i="8"/>
  <c r="R29" i="8"/>
  <c r="G39" i="8"/>
  <c r="AZ51" i="8"/>
  <c r="O18" i="8"/>
  <c r="BB43" i="8"/>
  <c r="AW42" i="8"/>
  <c r="T38" i="8"/>
  <c r="M36" i="8"/>
  <c r="AX44" i="8"/>
  <c r="T27" i="8"/>
  <c r="S18" i="8"/>
  <c r="AX5" i="8"/>
  <c r="AO28" i="8"/>
  <c r="AT51" i="8"/>
  <c r="AT19" i="8"/>
  <c r="AZ36" i="8"/>
  <c r="AL12" i="8"/>
  <c r="AU44" i="8"/>
  <c r="AW37" i="8"/>
  <c r="S53" i="8"/>
  <c r="AR42" i="8"/>
  <c r="BB9" i="8"/>
  <c r="BA35" i="8"/>
  <c r="X8" i="8"/>
  <c r="AX50" i="8"/>
  <c r="Y48" i="8"/>
  <c r="AK42" i="8"/>
  <c r="AX36" i="8"/>
  <c r="V6" i="8"/>
  <c r="AG23" i="8"/>
  <c r="T13" i="8"/>
  <c r="K12" i="8"/>
  <c r="S22" i="8"/>
  <c r="AH21" i="8"/>
  <c r="V24" i="8"/>
  <c r="J22" i="8"/>
  <c r="AM44" i="8"/>
  <c r="U19" i="8"/>
  <c r="V23" i="8"/>
  <c r="BA43" i="8"/>
  <c r="J50" i="8"/>
  <c r="AG16" i="8"/>
  <c r="AK46" i="8"/>
  <c r="AW10" i="8"/>
  <c r="AW24" i="8"/>
  <c r="L21" i="8"/>
  <c r="I8" i="8"/>
  <c r="P33" i="8"/>
  <c r="X10" i="8"/>
  <c r="AS41" i="8"/>
  <c r="R22" i="8"/>
  <c r="P6" i="8"/>
  <c r="AM3" i="8"/>
  <c r="Y18" i="8"/>
  <c r="V30" i="8"/>
  <c r="AV50" i="8"/>
  <c r="AK11" i="8"/>
  <c r="E29" i="8"/>
  <c r="S3" i="8"/>
  <c r="BB10" i="8"/>
  <c r="X47" i="8"/>
  <c r="BB31" i="8"/>
  <c r="S31" i="8"/>
  <c r="AI5" i="8"/>
  <c r="AW15" i="8"/>
  <c r="AM35" i="8"/>
  <c r="S12" i="8"/>
  <c r="AP20" i="8"/>
  <c r="O15" i="8"/>
  <c r="P9" i="34"/>
  <c r="J19" i="8"/>
  <c r="AU35" i="8"/>
  <c r="AN48" i="8"/>
  <c r="J7" i="8"/>
  <c r="AK29" i="8"/>
  <c r="R48" i="8"/>
  <c r="AY29" i="8"/>
  <c r="AO43" i="8"/>
  <c r="K50" i="8"/>
  <c r="AG44" i="8"/>
  <c r="AR51" i="8"/>
  <c r="L18" i="8"/>
  <c r="AG37" i="8"/>
  <c r="BC38" i="8"/>
  <c r="AW31" i="8"/>
  <c r="AR38" i="8"/>
  <c r="K40" i="8"/>
  <c r="Q43" i="8"/>
  <c r="E54" i="8"/>
  <c r="U25" i="8"/>
  <c r="AG26" i="8"/>
  <c r="AG29" i="8"/>
  <c r="AL52" i="8"/>
  <c r="AW12" i="8"/>
  <c r="AH7" i="8"/>
  <c r="G13" i="8"/>
  <c r="Y9" i="8"/>
  <c r="J17" i="8"/>
  <c r="AG33" i="8"/>
  <c r="D47" i="8"/>
  <c r="AN47" i="8"/>
  <c r="AW25" i="8"/>
  <c r="P24" i="8"/>
  <c r="X13" i="8"/>
  <c r="L23" i="8"/>
  <c r="AU37" i="8"/>
  <c r="E47" i="8"/>
  <c r="AY6" i="8"/>
  <c r="R46" i="8"/>
  <c r="Y22" i="8"/>
  <c r="I11" i="8"/>
  <c r="F6" i="8"/>
  <c r="AX10" i="8"/>
  <c r="E43" i="8"/>
  <c r="AS3" i="8"/>
  <c r="H12" i="8"/>
  <c r="J47" i="8"/>
  <c r="AZ45" i="8"/>
  <c r="AP33" i="8"/>
  <c r="AG21" i="8"/>
  <c r="Q30" i="8"/>
  <c r="AH38" i="8"/>
  <c r="AL21" i="8"/>
  <c r="AH14" i="8"/>
  <c r="AN53" i="8"/>
  <c r="AM4" i="8"/>
  <c r="AY42" i="8"/>
  <c r="BB41" i="8"/>
  <c r="M13" i="8"/>
  <c r="Z6" i="8"/>
  <c r="AY35" i="8"/>
  <c r="BC52" i="8"/>
  <c r="W45" i="8"/>
  <c r="Z19" i="8"/>
  <c r="AS42" i="8"/>
  <c r="M15" i="8"/>
  <c r="J9" i="3"/>
  <c r="AX14" i="8"/>
  <c r="AM21" i="8"/>
  <c r="AO27" i="8"/>
  <c r="AZ52" i="8"/>
  <c r="AN16" i="8"/>
  <c r="AZ19" i="8"/>
  <c r="Z10" i="8"/>
  <c r="P42" i="8"/>
  <c r="P43" i="34"/>
  <c r="O32" i="8"/>
  <c r="AY22" i="8"/>
  <c r="W50" i="8"/>
  <c r="F28" i="8"/>
  <c r="AG53" i="8"/>
  <c r="J8" i="8"/>
  <c r="AG31" i="8"/>
  <c r="BB16" i="8"/>
  <c r="V17" i="8"/>
  <c r="R21" i="8"/>
  <c r="E4" i="8"/>
  <c r="P38" i="34"/>
  <c r="Z54" i="8"/>
  <c r="P4" i="8"/>
  <c r="AS35" i="8"/>
  <c r="AR50" i="8"/>
  <c r="P38" i="8"/>
  <c r="V9" i="8"/>
  <c r="F39" i="8"/>
  <c r="AJ20" i="8"/>
  <c r="X51" i="8"/>
  <c r="U40" i="8"/>
  <c r="BC41" i="8"/>
  <c r="Z22" i="8"/>
  <c r="AY15" i="8"/>
  <c r="W14" i="8"/>
  <c r="O8" i="8"/>
  <c r="K46" i="8"/>
  <c r="AX19" i="8"/>
  <c r="AR12" i="8"/>
  <c r="AJ18" i="8"/>
  <c r="AZ5" i="8"/>
  <c r="T43" i="8"/>
  <c r="AN3" i="8"/>
  <c r="O35" i="8"/>
  <c r="W8" i="8"/>
  <c r="L29" i="8"/>
  <c r="L16" i="8"/>
  <c r="O39" i="8"/>
  <c r="V32" i="8"/>
  <c r="K9" i="3"/>
  <c r="E9" i="3"/>
  <c r="E39" i="8"/>
  <c r="V14" i="8"/>
  <c r="AP49" i="8"/>
  <c r="H45" i="8"/>
  <c r="AP14" i="8"/>
  <c r="AG40" i="8"/>
  <c r="AY7" i="8"/>
  <c r="AU18" i="8"/>
  <c r="X52" i="8"/>
  <c r="AP50" i="8"/>
  <c r="O38" i="8"/>
  <c r="AW16" i="8"/>
  <c r="W27" i="8"/>
  <c r="O41" i="8"/>
  <c r="AN30" i="8"/>
  <c r="I52" i="8"/>
  <c r="J53" i="8"/>
  <c r="AZ20" i="8"/>
  <c r="AV43" i="8"/>
  <c r="F45" i="8"/>
  <c r="AM53" i="8"/>
  <c r="AH3" i="8"/>
  <c r="AW17" i="8"/>
  <c r="AO15" i="8"/>
  <c r="AI43" i="8"/>
  <c r="AI27" i="8"/>
  <c r="AW33" i="8"/>
  <c r="BC12" i="8"/>
  <c r="J27" i="8"/>
  <c r="BB20" i="8"/>
  <c r="AJ53" i="8"/>
  <c r="Q46" i="8"/>
  <c r="W23" i="8"/>
  <c r="AO29" i="8"/>
  <c r="AO38" i="8"/>
  <c r="AL7" i="8"/>
  <c r="BB38" i="8"/>
  <c r="V35" i="8"/>
  <c r="AN43" i="8"/>
  <c r="Q50" i="8"/>
  <c r="AS47" i="8"/>
  <c r="T45" i="8"/>
  <c r="S29" i="8"/>
  <c r="AR34" i="8"/>
  <c r="J13" i="8"/>
  <c r="AL19" i="8"/>
  <c r="T3" i="8"/>
  <c r="BC15" i="8"/>
  <c r="AL39" i="8"/>
  <c r="AZ40" i="8"/>
  <c r="N13" i="8"/>
  <c r="S8" i="8"/>
  <c r="M34" i="8"/>
  <c r="AP36" i="8"/>
  <c r="AH40" i="8"/>
  <c r="P34" i="8"/>
  <c r="BA41" i="8"/>
  <c r="I24" i="8"/>
  <c r="E41" i="8"/>
  <c r="W19" i="8"/>
  <c r="W3" i="8"/>
  <c r="AQ28" i="8"/>
  <c r="AY30" i="8"/>
  <c r="K20" i="8"/>
  <c r="D34" i="8"/>
  <c r="BA7" i="8"/>
  <c r="G9" i="3"/>
  <c r="Z35" i="8"/>
  <c r="BA17" i="8"/>
  <c r="G15" i="8"/>
  <c r="G9" i="8"/>
  <c r="AX47" i="8"/>
  <c r="AI13" i="8"/>
  <c r="AY37" i="8"/>
  <c r="U39" i="8"/>
  <c r="O11" i="8"/>
  <c r="AM10" i="8"/>
  <c r="AK36" i="8"/>
  <c r="BC17" i="8"/>
  <c r="AP51" i="8"/>
  <c r="S50" i="8"/>
  <c r="AJ5" i="8"/>
  <c r="I37" i="8"/>
  <c r="G52" i="8"/>
  <c r="AR31" i="8"/>
  <c r="E40" i="8"/>
  <c r="D45" i="8"/>
  <c r="P20" i="34"/>
  <c r="AT30" i="8"/>
  <c r="AJ39" i="8"/>
  <c r="O45" i="8"/>
  <c r="AT24" i="8"/>
  <c r="W49" i="8"/>
  <c r="G27" i="8"/>
  <c r="BC4" i="8"/>
  <c r="BC40" i="8"/>
  <c r="AJ17" i="8"/>
  <c r="H6" i="8"/>
  <c r="AL8" i="8"/>
  <c r="AV26" i="8"/>
  <c r="U26" i="8"/>
  <c r="W54" i="8"/>
  <c r="AG34" i="8"/>
  <c r="R30" i="8"/>
  <c r="AH27" i="8"/>
  <c r="H52" i="8"/>
  <c r="Q27" i="8"/>
  <c r="AT37" i="8"/>
  <c r="AU39" i="8"/>
  <c r="AI41" i="8"/>
  <c r="Z50" i="8"/>
  <c r="AJ27" i="8"/>
  <c r="U4" i="8"/>
  <c r="AU15" i="8"/>
  <c r="M32" i="8"/>
  <c r="AI16" i="8"/>
  <c r="F8" i="8"/>
  <c r="U14" i="8"/>
  <c r="K13" i="8"/>
  <c r="AG43" i="8"/>
  <c r="Y33" i="8"/>
  <c r="R4" i="8"/>
  <c r="J51" i="8"/>
  <c r="AP3" i="8"/>
  <c r="G50" i="8"/>
  <c r="J6" i="8"/>
  <c r="G14" i="8"/>
  <c r="BC6" i="8"/>
  <c r="BA50" i="8"/>
  <c r="F11" i="8"/>
  <c r="X18" i="8"/>
  <c r="F4" i="8"/>
  <c r="AX52" i="8"/>
  <c r="H37" i="8"/>
  <c r="I44" i="8"/>
  <c r="E28" i="8"/>
  <c r="K8" i="8"/>
  <c r="AR6" i="8"/>
  <c r="AL20" i="8"/>
  <c r="AQ39" i="8"/>
  <c r="AN49" i="8"/>
  <c r="AR20" i="8"/>
  <c r="AP24" i="8"/>
  <c r="H13" i="8"/>
  <c r="AJ34" i="8"/>
  <c r="AQ18" i="8"/>
  <c r="X33" i="8"/>
  <c r="AJ38" i="8"/>
  <c r="Q41" i="8"/>
  <c r="Y5" i="8"/>
  <c r="S37" i="8"/>
  <c r="AX25" i="8"/>
  <c r="I3" i="8"/>
  <c r="BC33" i="8"/>
  <c r="R12" i="8"/>
  <c r="T4" i="8"/>
  <c r="AQ51" i="8"/>
  <c r="AO47" i="8"/>
  <c r="Y28" i="8"/>
  <c r="X46" i="8"/>
  <c r="J34" i="8"/>
  <c r="J26" i="8"/>
  <c r="F29" i="8"/>
  <c r="L27" i="8"/>
  <c r="P17" i="34"/>
  <c r="AR35" i="8"/>
  <c r="BB5" i="8"/>
  <c r="D6" i="8"/>
  <c r="AW6" i="8"/>
  <c r="AZ28" i="8"/>
  <c r="H49" i="8"/>
  <c r="AN38" i="8"/>
  <c r="S4" i="8"/>
  <c r="AW20" i="8"/>
  <c r="BC43" i="8"/>
  <c r="AP27" i="8"/>
  <c r="AT38" i="8"/>
  <c r="F51" i="8"/>
  <c r="H17" i="8"/>
  <c r="AJ26" i="8"/>
  <c r="BB36" i="8"/>
  <c r="AV32" i="8"/>
  <c r="AG30" i="8"/>
  <c r="S13" i="8"/>
  <c r="N6" i="8"/>
  <c r="E37" i="8"/>
  <c r="G35" i="8"/>
  <c r="M19" i="8"/>
  <c r="AW26" i="8"/>
  <c r="W17" i="8"/>
  <c r="T46" i="8"/>
  <c r="Q51" i="8"/>
  <c r="R23" i="8"/>
  <c r="AU48" i="8"/>
  <c r="I36" i="8"/>
  <c r="M16" i="8"/>
  <c r="V28" i="8"/>
  <c r="D27" i="8"/>
  <c r="AX51" i="8"/>
  <c r="V7" i="8"/>
  <c r="AP4" i="8"/>
  <c r="E33" i="8"/>
  <c r="AZ48" i="8"/>
  <c r="AU31" i="8"/>
  <c r="M6" i="8"/>
  <c r="BA34" i="8"/>
  <c r="AS39" i="8"/>
  <c r="M38" i="8"/>
  <c r="AN51" i="8"/>
  <c r="L6" i="8"/>
  <c r="AO13" i="8"/>
  <c r="AI51" i="8"/>
  <c r="T30" i="8"/>
  <c r="AJ52" i="8"/>
  <c r="BA47" i="8"/>
  <c r="T20" i="8"/>
  <c r="O25" i="8"/>
  <c r="AY25" i="8"/>
  <c r="AI23" i="8"/>
  <c r="G4" i="8"/>
  <c r="O29" i="8"/>
  <c r="AM12" i="8"/>
  <c r="M8" i="8"/>
  <c r="T31" i="8"/>
  <c r="AY38" i="8"/>
  <c r="X30" i="8"/>
  <c r="AJ40" i="8"/>
  <c r="Q7" i="8"/>
  <c r="L19" i="8"/>
  <c r="S21" i="8"/>
  <c r="AZ17" i="8"/>
  <c r="AJ41" i="8"/>
  <c r="BC44" i="8"/>
  <c r="AZ42" i="8"/>
  <c r="U45" i="8"/>
  <c r="BB17" i="8"/>
  <c r="AZ26" i="8"/>
  <c r="E21" i="8"/>
  <c r="Y23" i="8"/>
  <c r="Z30" i="8"/>
  <c r="F44" i="8"/>
  <c r="M21" i="8"/>
  <c r="AS38" i="8"/>
  <c r="Y25" i="8"/>
  <c r="AN21" i="8"/>
  <c r="AZ33" i="8"/>
  <c r="AO52" i="8"/>
  <c r="AH17" i="8"/>
  <c r="L3" i="8"/>
  <c r="V44" i="8"/>
  <c r="AT15" i="8"/>
  <c r="BC42" i="8"/>
  <c r="L54" i="8"/>
  <c r="V29" i="8"/>
  <c r="X37" i="8"/>
  <c r="U35" i="8"/>
  <c r="N39" i="8"/>
  <c r="K42" i="8"/>
  <c r="AI31" i="8"/>
  <c r="K36" i="8"/>
  <c r="I28" i="8"/>
  <c r="AP53" i="8"/>
  <c r="T26" i="8"/>
  <c r="P9" i="8"/>
  <c r="U37" i="8"/>
  <c r="W22" i="8"/>
  <c r="L34" i="8"/>
  <c r="N9" i="8"/>
  <c r="O47" i="8"/>
  <c r="Q40" i="8"/>
  <c r="P16" i="8"/>
  <c r="O30" i="8"/>
  <c r="P36" i="34"/>
  <c r="N10" i="8"/>
  <c r="P32" i="8"/>
  <c r="BC3" i="8"/>
  <c r="AH48" i="8"/>
  <c r="G30" i="8"/>
  <c r="AV5" i="8"/>
  <c r="AJ45" i="8"/>
  <c r="H51" i="8"/>
  <c r="L10" i="8"/>
  <c r="F54" i="8"/>
  <c r="T29" i="8"/>
  <c r="AL34" i="8"/>
  <c r="H42" i="8"/>
  <c r="AR29" i="8"/>
  <c r="T23" i="8"/>
  <c r="AQ5" i="8"/>
  <c r="BC7" i="8"/>
  <c r="AH31" i="8"/>
  <c r="AR24" i="8"/>
  <c r="F50" i="8"/>
  <c r="G45" i="8"/>
  <c r="I23" i="8"/>
  <c r="AW5" i="8"/>
  <c r="AW22" i="8"/>
  <c r="AS29" i="8"/>
  <c r="AZ44" i="8"/>
  <c r="D32" i="8"/>
  <c r="AX6" i="8"/>
  <c r="T9" i="3"/>
  <c r="AT3" i="8"/>
  <c r="AI39" i="8"/>
  <c r="AU24" i="8"/>
  <c r="AX20" i="8"/>
  <c r="AN10" i="8"/>
  <c r="AS22" i="8"/>
  <c r="AJ4" i="8"/>
  <c r="AI35" i="8"/>
  <c r="R39" i="8"/>
  <c r="E14" i="8"/>
  <c r="BC29" i="8"/>
  <c r="AX46" i="8"/>
  <c r="AZ15" i="8"/>
  <c r="T25" i="8"/>
  <c r="AO40" i="8"/>
  <c r="O26" i="8"/>
  <c r="BC27" i="8"/>
  <c r="AR49" i="8"/>
  <c r="AH24" i="8"/>
  <c r="G11" i="8"/>
  <c r="J30" i="8"/>
  <c r="Z13" i="8"/>
  <c r="V18" i="8"/>
  <c r="E42" i="8"/>
  <c r="U41" i="8"/>
  <c r="AZ25" i="8"/>
  <c r="BA42" i="8"/>
  <c r="L47" i="8"/>
  <c r="AW9" i="8"/>
  <c r="AT18" i="8"/>
  <c r="D7" i="8"/>
  <c r="AU28" i="8"/>
  <c r="AS52" i="8"/>
  <c r="AP26" i="8"/>
  <c r="AH32" i="8"/>
  <c r="BB32" i="8"/>
  <c r="D23" i="8"/>
  <c r="AU42" i="8"/>
  <c r="K32" i="8"/>
  <c r="O54" i="8"/>
  <c r="S36" i="8"/>
  <c r="L11" i="8"/>
  <c r="AM13" i="8"/>
  <c r="W36" i="8"/>
  <c r="L33" i="8"/>
  <c r="V10" i="8"/>
  <c r="T39" i="8"/>
  <c r="BA30" i="8"/>
  <c r="BA25" i="8"/>
  <c r="H24" i="8"/>
  <c r="AR40" i="8"/>
  <c r="AP34" i="8"/>
  <c r="AU47" i="8"/>
  <c r="BC18" i="8"/>
  <c r="AN25" i="8"/>
  <c r="AU4" i="8"/>
  <c r="W16" i="8"/>
  <c r="AW18" i="8"/>
  <c r="P11" i="34"/>
  <c r="G29" i="8"/>
  <c r="M23" i="8"/>
  <c r="Y36" i="8"/>
  <c r="BB14" i="8"/>
  <c r="Y29" i="8"/>
  <c r="AL24" i="8"/>
  <c r="BA20" i="8"/>
  <c r="S25" i="8"/>
  <c r="AN8" i="8"/>
  <c r="AX15" i="8"/>
  <c r="AI24" i="8"/>
  <c r="AQ42" i="8"/>
  <c r="AU14" i="8"/>
  <c r="J24" i="8"/>
  <c r="BC34" i="8"/>
  <c r="R45" i="8"/>
  <c r="AK7" i="8"/>
  <c r="BC32" i="8"/>
  <c r="G31" i="8"/>
  <c r="S45" i="8"/>
  <c r="H8" i="8"/>
  <c r="Z3" i="8"/>
  <c r="AQ33" i="8"/>
  <c r="AV41" i="8"/>
  <c r="AI6" i="8"/>
  <c r="AW28" i="8"/>
  <c r="J39" i="8"/>
  <c r="G5" i="8"/>
  <c r="W43" i="8"/>
  <c r="Q24" i="8"/>
  <c r="D5" i="8"/>
  <c r="AO16" i="8"/>
  <c r="AZ27" i="8"/>
  <c r="N27" i="8"/>
  <c r="J14" i="8"/>
  <c r="T49" i="8"/>
  <c r="AT32" i="8"/>
  <c r="AS25" i="8"/>
  <c r="AT11" i="8"/>
  <c r="R52" i="8"/>
  <c r="AZ12" i="8"/>
  <c r="O43" i="8"/>
  <c r="AI30" i="8"/>
  <c r="K6" i="8"/>
  <c r="D13" i="8"/>
  <c r="BB7" i="8"/>
  <c r="J31" i="8"/>
  <c r="T41" i="8"/>
  <c r="E17" i="8"/>
  <c r="AR11" i="8"/>
  <c r="AR8" i="8"/>
  <c r="P48" i="8"/>
  <c r="M41" i="8"/>
  <c r="AY16" i="8"/>
  <c r="V48" i="8"/>
  <c r="J46" i="8"/>
  <c r="X23" i="8"/>
  <c r="Z45" i="8"/>
  <c r="P36" i="8"/>
  <c r="AH34" i="8"/>
  <c r="E30" i="8"/>
  <c r="Y42" i="8"/>
  <c r="E18" i="8"/>
  <c r="AI37" i="8"/>
  <c r="BA16" i="8"/>
  <c r="AU7" i="8"/>
  <c r="J20" i="8"/>
  <c r="T44" i="8"/>
  <c r="Y38" i="8"/>
  <c r="AV48" i="8"/>
  <c r="AP47" i="8"/>
  <c r="AN11" i="8"/>
  <c r="AY41" i="8"/>
  <c r="V25" i="8"/>
  <c r="AI33" i="8"/>
  <c r="R43" i="8"/>
  <c r="Y54" i="8"/>
  <c r="AH8" i="8"/>
  <c r="BC26" i="8"/>
  <c r="S26" i="8"/>
  <c r="Q5" i="8"/>
  <c r="AT41" i="8"/>
  <c r="AM40" i="8"/>
  <c r="O31" i="8"/>
  <c r="AK38" i="8"/>
  <c r="AY10" i="8"/>
  <c r="U16" i="8"/>
  <c r="Y47" i="8"/>
  <c r="Y44" i="8"/>
  <c r="AN40" i="8"/>
  <c r="AO7" i="8"/>
  <c r="V22" i="8"/>
  <c r="AR46" i="8"/>
  <c r="T10" i="8"/>
  <c r="AH45" i="8"/>
  <c r="L15" i="8"/>
  <c r="AS21" i="8"/>
  <c r="AH4" i="8"/>
  <c r="BB40" i="8"/>
  <c r="BA12" i="8"/>
  <c r="W38" i="8"/>
  <c r="O10" i="8"/>
  <c r="AP41" i="8"/>
  <c r="G42" i="8"/>
  <c r="AY53" i="8"/>
  <c r="AX49" i="8"/>
  <c r="N7" i="8"/>
  <c r="AO48" i="8"/>
  <c r="AX35" i="8"/>
  <c r="AL30" i="8"/>
  <c r="BA18" i="8"/>
  <c r="S47" i="8"/>
  <c r="AU23" i="8"/>
  <c r="Y35" i="8"/>
  <c r="AH9" i="8"/>
  <c r="H30" i="8"/>
  <c r="K53" i="8"/>
  <c r="BB26" i="8"/>
  <c r="G54" i="8"/>
  <c r="T19" i="8"/>
  <c r="AH33" i="8"/>
  <c r="Y15" i="8"/>
  <c r="BB24" i="8"/>
  <c r="AJ28" i="8"/>
  <c r="D19" i="8"/>
  <c r="G19" i="8"/>
  <c r="AI40" i="8"/>
  <c r="AT47" i="8"/>
  <c r="AG5" i="8"/>
  <c r="AG20" i="8"/>
  <c r="R44" i="8"/>
  <c r="AV34" i="8"/>
  <c r="BA3" i="8"/>
  <c r="AH30" i="8"/>
  <c r="AS11" i="8"/>
  <c r="AS6" i="8"/>
  <c r="AJ44" i="8"/>
  <c r="AG7" i="8"/>
  <c r="T24" i="8"/>
  <c r="J4" i="8"/>
  <c r="Z47" i="8"/>
  <c r="AL3" i="8"/>
  <c r="Z38" i="8"/>
  <c r="H9" i="8"/>
  <c r="AH23" i="8"/>
  <c r="AV27" i="8"/>
  <c r="AW43" i="8"/>
  <c r="E24" i="8"/>
  <c r="W35" i="8"/>
  <c r="D9" i="8"/>
  <c r="AI12" i="8"/>
  <c r="T9" i="8"/>
  <c r="Z49" i="8"/>
  <c r="AK13" i="8"/>
  <c r="D10" i="8"/>
  <c r="AI53" i="8"/>
  <c r="AZ10" i="8"/>
  <c r="AH18" i="8"/>
  <c r="AM38" i="8"/>
  <c r="AI52" i="8"/>
  <c r="BC24" i="8"/>
  <c r="D21" i="8"/>
  <c r="AG38" i="8"/>
  <c r="AZ18" i="8"/>
  <c r="Q25" i="8"/>
  <c r="AV10" i="8"/>
  <c r="AV16" i="8"/>
  <c r="AV30" i="8"/>
  <c r="L38" i="8"/>
  <c r="M18" i="8"/>
  <c r="AZ6" i="8"/>
  <c r="J11" i="8"/>
  <c r="T17" i="8"/>
  <c r="AG27" i="8"/>
  <c r="X28" i="8"/>
  <c r="Z27" i="8"/>
  <c r="AW34" i="8"/>
  <c r="H35" i="8"/>
  <c r="AO9" i="8"/>
  <c r="S42" i="8"/>
  <c r="Z40" i="8"/>
  <c r="V49" i="8"/>
  <c r="BB12" i="8"/>
  <c r="W12" i="8"/>
  <c r="BA15" i="8"/>
  <c r="W21" i="8"/>
  <c r="L4" i="8"/>
  <c r="AG3" i="8"/>
  <c r="U50" i="8"/>
  <c r="L39" i="8"/>
  <c r="AP17" i="8"/>
  <c r="D30" i="8"/>
  <c r="AM23" i="8"/>
  <c r="AK44" i="8"/>
  <c r="BB34" i="8"/>
  <c r="P8" i="34"/>
  <c r="O49" i="8"/>
  <c r="BC53" i="8"/>
  <c r="BB37" i="8"/>
  <c r="AM22" i="8"/>
  <c r="AR3" i="8"/>
  <c r="AZ47" i="8"/>
  <c r="Z20" i="8"/>
  <c r="AM17" i="8"/>
  <c r="AP22" i="8"/>
  <c r="S44" i="8"/>
  <c r="AN4" i="8"/>
  <c r="AJ12" i="8"/>
  <c r="R16" i="8"/>
  <c r="Q49" i="8"/>
  <c r="V9" i="3"/>
  <c r="BC20" i="8"/>
  <c r="AL43" i="8"/>
  <c r="Q44" i="8"/>
  <c r="AL25" i="8"/>
  <c r="AP37" i="8"/>
  <c r="AT12" i="8"/>
  <c r="AO8" i="8"/>
  <c r="X34" i="8"/>
  <c r="V43" i="8"/>
  <c r="AI26" i="8"/>
  <c r="S20" i="8"/>
  <c r="AS23" i="8"/>
  <c r="BA38" i="8"/>
  <c r="AT53" i="8"/>
  <c r="AI50" i="8"/>
  <c r="AP31" i="8"/>
  <c r="V37" i="8"/>
  <c r="BC5" i="8"/>
  <c r="J32" i="8"/>
  <c r="F26" i="8"/>
  <c r="Z33" i="8"/>
  <c r="AP40" i="8"/>
  <c r="M5" i="8"/>
  <c r="AL37" i="8"/>
  <c r="Y4" i="8"/>
  <c r="S11" i="8"/>
  <c r="AM6" i="8"/>
  <c r="W25" i="8"/>
  <c r="AR33" i="8"/>
  <c r="AM27" i="8"/>
  <c r="AY31" i="8"/>
  <c r="S7" i="8"/>
  <c r="L44" i="8"/>
  <c r="AH47" i="8"/>
  <c r="AQ38" i="8"/>
  <c r="AL44" i="8"/>
  <c r="I4" i="8"/>
  <c r="AT25" i="8"/>
  <c r="AK31" i="8"/>
  <c r="BC25" i="8"/>
  <c r="R38" i="8"/>
  <c r="L36" i="8"/>
  <c r="Z37" i="8"/>
  <c r="AZ46" i="8"/>
  <c r="AM5" i="8"/>
  <c r="N5" i="8"/>
  <c r="V54" i="8"/>
  <c r="AR23" i="8"/>
  <c r="AZ41" i="8"/>
  <c r="Z15" i="8"/>
  <c r="U52" i="8"/>
  <c r="F43" i="8"/>
  <c r="AS24" i="8"/>
  <c r="T14" i="8"/>
  <c r="AX39" i="8"/>
  <c r="AU38" i="8"/>
  <c r="S9" i="3"/>
  <c r="R54" i="8"/>
  <c r="E15" i="8"/>
  <c r="AV42" i="8"/>
  <c r="AU8" i="8"/>
  <c r="Y12" i="8"/>
  <c r="T50" i="8"/>
  <c r="AO49" i="8"/>
  <c r="W44" i="8"/>
  <c r="W5" i="8"/>
  <c r="S54" i="8"/>
  <c r="AW32" i="8"/>
  <c r="AP9" i="8"/>
  <c r="Z32" i="8"/>
  <c r="Y49" i="8"/>
  <c r="AR43" i="8"/>
  <c r="AJ33" i="8"/>
  <c r="AP19" i="8"/>
  <c r="AU3" i="8"/>
  <c r="AY20" i="8"/>
  <c r="L52" i="8"/>
  <c r="AP38" i="8"/>
  <c r="G36" i="8"/>
  <c r="BB52" i="8"/>
  <c r="Q4" i="8"/>
  <c r="K43" i="8"/>
  <c r="M11" i="8"/>
  <c r="H9" i="3"/>
  <c r="AJ10" i="8"/>
  <c r="AN39" i="8"/>
  <c r="AV29" i="8"/>
  <c r="Y8" i="8"/>
  <c r="BB49" i="8"/>
  <c r="AK33" i="8"/>
  <c r="AJ19" i="8"/>
  <c r="BA48" i="8"/>
  <c r="G43" i="8"/>
  <c r="AO10" i="8"/>
  <c r="V3" i="8"/>
  <c r="AT52" i="8"/>
  <c r="AK21" i="8"/>
  <c r="S10" i="8"/>
  <c r="P22" i="8"/>
  <c r="AY48" i="8"/>
  <c r="AR7" i="8"/>
  <c r="F40" i="8"/>
  <c r="D28" i="8"/>
  <c r="M35" i="8"/>
  <c r="AT46" i="8"/>
  <c r="I19" i="8"/>
  <c r="AH46" i="8"/>
  <c r="P10" i="8"/>
  <c r="R15" i="8"/>
  <c r="BB25" i="8"/>
  <c r="AH28" i="8"/>
  <c r="AM49" i="8"/>
  <c r="E12" i="8"/>
  <c r="Q29" i="8"/>
  <c r="AN44" i="8"/>
  <c r="AJ31" i="8"/>
  <c r="AL40" i="8"/>
  <c r="AQ34" i="8"/>
  <c r="D33" i="8"/>
  <c r="Q37" i="8"/>
  <c r="K37" i="8"/>
  <c r="P12" i="34"/>
  <c r="AQ8" i="8"/>
  <c r="M46" i="8"/>
  <c r="L26" i="8"/>
  <c r="V52" i="8"/>
  <c r="U38" i="8"/>
  <c r="BA14" i="8"/>
  <c r="AQ30" i="8"/>
  <c r="BC28" i="8"/>
  <c r="Z51" i="8"/>
  <c r="T42" i="8"/>
  <c r="AN24" i="8"/>
  <c r="AJ15" i="8"/>
  <c r="AK40" i="8"/>
  <c r="F27" i="8"/>
  <c r="X20" i="8"/>
  <c r="Q52" i="8"/>
  <c r="AJ13" i="8"/>
  <c r="D24" i="8"/>
  <c r="H54" i="8"/>
  <c r="O9" i="8"/>
  <c r="R25" i="8"/>
  <c r="AG39" i="8"/>
  <c r="BB51" i="8"/>
  <c r="T54" i="8"/>
  <c r="AI48" i="8"/>
  <c r="AN9" i="8"/>
  <c r="AW50" i="8"/>
  <c r="AT49" i="8"/>
  <c r="I14" i="8"/>
  <c r="AV44" i="8"/>
  <c r="K34" i="8"/>
  <c r="X11" i="8"/>
  <c r="BA8" i="8"/>
  <c r="J54" i="8"/>
  <c r="P35" i="8"/>
  <c r="I40" i="8"/>
  <c r="AG28" i="8"/>
  <c r="AS51" i="8"/>
  <c r="AS37" i="8"/>
  <c r="M48" i="8"/>
  <c r="AJ6" i="8"/>
  <c r="AI44" i="8"/>
  <c r="L28" i="8"/>
  <c r="O5" i="8"/>
  <c r="L20" i="8"/>
  <c r="AU25" i="8"/>
  <c r="G38" i="8"/>
  <c r="J42" i="8"/>
  <c r="M10" i="8"/>
  <c r="AS43" i="8"/>
  <c r="AK16" i="8"/>
  <c r="X54" i="8"/>
  <c r="AV23" i="8"/>
  <c r="E6" i="8"/>
  <c r="J3" i="8"/>
  <c r="L53" i="8"/>
  <c r="P44" i="8"/>
  <c r="BC30" i="8"/>
  <c r="G17" i="8"/>
  <c r="X32" i="8"/>
  <c r="J21" i="8"/>
  <c r="S33" i="8"/>
  <c r="P28" i="8"/>
  <c r="Q20" i="8"/>
  <c r="U32" i="8"/>
  <c r="Y39" i="8"/>
  <c r="Y24" i="8"/>
  <c r="AR39" i="8"/>
  <c r="M22" i="8"/>
  <c r="AP21" i="8"/>
  <c r="U9" i="3"/>
  <c r="BA32" i="8"/>
  <c r="P13" i="34"/>
  <c r="X35" i="8"/>
  <c r="BC16" i="8"/>
  <c r="O33" i="8"/>
  <c r="T21" i="8"/>
  <c r="AW14" i="8"/>
  <c r="AH11" i="8"/>
  <c r="E20" i="8"/>
  <c r="R14" i="8"/>
  <c r="I9" i="3"/>
  <c r="H18" i="8"/>
  <c r="BC51" i="8"/>
  <c r="AL50" i="8"/>
  <c r="P3" i="8"/>
  <c r="J40" i="8"/>
  <c r="AR41" i="8"/>
  <c r="AL47" i="8"/>
  <c r="AN18" i="8"/>
  <c r="G24" i="8"/>
  <c r="AP8" i="8"/>
  <c r="AZ29" i="8"/>
  <c r="T18" i="8"/>
  <c r="AH19" i="8"/>
  <c r="AK35" i="8"/>
  <c r="T53" i="8"/>
  <c r="AZ9" i="8"/>
  <c r="AK3" i="8"/>
  <c r="Z46" i="8"/>
  <c r="P26" i="8"/>
  <c r="AL35" i="8"/>
  <c r="AT22" i="8"/>
  <c r="H3" i="8"/>
  <c r="I29" i="8"/>
  <c r="AO22" i="8"/>
  <c r="Y52" i="8"/>
  <c r="AX33" i="8"/>
  <c r="K38" i="8"/>
  <c r="AR48" i="8"/>
  <c r="K4" i="8"/>
  <c r="H27" i="8"/>
  <c r="AV39" i="8"/>
  <c r="AS10" i="8"/>
  <c r="AI7" i="8"/>
  <c r="AL38" i="8"/>
  <c r="Q38" i="8"/>
  <c r="I39" i="8"/>
  <c r="AU49" i="8"/>
  <c r="AG32" i="8"/>
  <c r="X7" i="8"/>
  <c r="AS18" i="8"/>
  <c r="X17" i="8"/>
  <c r="AY13" i="8"/>
  <c r="R11" i="8"/>
  <c r="Q13" i="8"/>
  <c r="AJ46" i="8"/>
  <c r="AG12" i="8"/>
  <c r="G8" i="8"/>
  <c r="AH12" i="8"/>
  <c r="AJ24" i="8"/>
  <c r="O34" i="8"/>
  <c r="AV35" i="8"/>
  <c r="E5" i="8"/>
  <c r="Z43" i="8"/>
  <c r="O7" i="8"/>
  <c r="S9" i="8"/>
  <c r="R20" i="8"/>
  <c r="M51" i="8"/>
  <c r="G41" i="8"/>
  <c r="BB29" i="8"/>
  <c r="AX41" i="8"/>
  <c r="AS14" i="8"/>
  <c r="K27" i="8"/>
  <c r="J16" i="8"/>
  <c r="X6" i="8"/>
  <c r="AL42" i="8"/>
  <c r="Y11" i="8"/>
  <c r="AI47" i="8"/>
  <c r="N26" i="8"/>
  <c r="H10" i="8"/>
  <c r="K47" i="8"/>
  <c r="X25" i="8"/>
  <c r="P52" i="34"/>
  <c r="BB11" i="8"/>
  <c r="V31" i="8"/>
  <c r="AS46" i="8"/>
  <c r="AK47" i="8"/>
  <c r="AS40" i="8"/>
  <c r="Y53" i="8"/>
  <c r="AX7" i="8"/>
  <c r="BB22" i="8"/>
  <c r="R31" i="8"/>
  <c r="R24" i="8"/>
  <c r="R37" i="8"/>
  <c r="AJ8" i="8"/>
  <c r="BC46" i="8"/>
  <c r="AU46" i="8"/>
  <c r="BB46" i="8"/>
  <c r="R35" i="8"/>
  <c r="AS12" i="8"/>
  <c r="AW8" i="8"/>
  <c r="U24" i="8"/>
  <c r="AH52" i="8"/>
  <c r="K10" i="8"/>
  <c r="P16" i="34"/>
  <c r="Y46" i="8"/>
  <c r="AG50" i="8"/>
  <c r="U8" i="8"/>
  <c r="AQ52" i="8"/>
  <c r="R32" i="8"/>
  <c r="X24" i="8"/>
  <c r="AW36" i="8"/>
  <c r="AG47" i="8"/>
  <c r="F21" i="8"/>
  <c r="H43" i="8"/>
  <c r="AJ14" i="8"/>
  <c r="BA5" i="8"/>
  <c r="AM26" i="8"/>
  <c r="N45" i="8"/>
  <c r="E19" i="8"/>
  <c r="BA51" i="8"/>
  <c r="AV47" i="8"/>
  <c r="AK6" i="8"/>
  <c r="AL46" i="8"/>
  <c r="Z18" i="8"/>
  <c r="S15" i="8"/>
  <c r="AG8" i="8"/>
  <c r="BA21" i="8"/>
  <c r="V53" i="8"/>
  <c r="AQ49" i="8"/>
  <c r="AU29" i="8"/>
  <c r="K19" i="8"/>
  <c r="N24" i="8"/>
  <c r="AX42" i="8"/>
  <c r="AT17" i="8"/>
  <c r="AG35" i="8"/>
  <c r="U5" i="8"/>
  <c r="K16" i="8"/>
  <c r="P8" i="8"/>
  <c r="V13" i="8"/>
  <c r="AK51" i="8"/>
  <c r="V26" i="8"/>
  <c r="H4" i="8"/>
  <c r="I12" i="8"/>
  <c r="AY36" i="8"/>
  <c r="AN15" i="8"/>
  <c r="AZ8" i="8"/>
  <c r="AU9" i="8"/>
  <c r="Q34" i="8"/>
  <c r="W24" i="8"/>
  <c r="AQ53" i="8"/>
  <c r="N41" i="8"/>
  <c r="AJ43" i="8"/>
  <c r="Y43" i="8"/>
  <c r="S52" i="8"/>
  <c r="R51" i="8"/>
  <c r="E16" i="8"/>
  <c r="AN19" i="8"/>
  <c r="V39" i="8"/>
  <c r="AL9" i="8"/>
  <c r="D11" i="8"/>
  <c r="BA31" i="8"/>
  <c r="BA24" i="8"/>
  <c r="O6" i="8"/>
  <c r="AO46" i="8"/>
  <c r="AJ35" i="8"/>
  <c r="I10" i="8"/>
  <c r="Q36" i="8"/>
  <c r="AJ30" i="8"/>
  <c r="AH26" i="8"/>
  <c r="AJ22" i="8"/>
  <c r="Y7" i="8"/>
  <c r="AG4" i="8"/>
  <c r="AG49" i="8"/>
  <c r="AJ37" i="8"/>
  <c r="I16" i="8"/>
  <c r="AO23" i="8"/>
  <c r="G53" i="8"/>
  <c r="L7" i="8"/>
  <c r="BC50" i="8"/>
  <c r="AP5" i="8"/>
  <c r="AI34" i="8"/>
  <c r="M27" i="8"/>
  <c r="AX40" i="8"/>
  <c r="Q17" i="8"/>
  <c r="X42" i="8"/>
  <c r="T34" i="8"/>
  <c r="Y21" i="8"/>
  <c r="D25" i="8"/>
  <c r="AW53" i="8"/>
  <c r="P43" i="8"/>
  <c r="AI8" i="8"/>
  <c r="AI14" i="8"/>
  <c r="BC35" i="8"/>
  <c r="K21" i="8"/>
  <c r="AY51" i="8"/>
  <c r="G46" i="8"/>
  <c r="AY44" i="8"/>
  <c r="AI10" i="8"/>
  <c r="I35" i="8"/>
  <c r="N33" i="8"/>
  <c r="Q47" i="8"/>
  <c r="AL22" i="8"/>
  <c r="AI32" i="8"/>
  <c r="AX31" i="8"/>
  <c r="K7" i="8"/>
  <c r="AQ16" i="8"/>
  <c r="Q6" i="8"/>
  <c r="AI28" i="8"/>
  <c r="X4" i="8"/>
  <c r="N12" i="8"/>
  <c r="D38" i="8"/>
  <c r="AN14" i="8"/>
  <c r="Z25" i="8"/>
  <c r="X15" i="8"/>
  <c r="AG13" i="8"/>
  <c r="AM36" i="8"/>
  <c r="AW4" i="8"/>
  <c r="Z5" i="8"/>
  <c r="I22" i="8"/>
  <c r="AL23" i="8"/>
  <c r="AQ25" i="8"/>
  <c r="M30" i="8"/>
  <c r="D3" i="8"/>
  <c r="X36" i="8"/>
  <c r="L37" i="8"/>
  <c r="M43" i="8"/>
  <c r="AY52" i="8"/>
  <c r="AO33" i="8"/>
  <c r="AL27" i="8"/>
  <c r="BC11" i="8"/>
  <c r="AJ11" i="8"/>
  <c r="U22" i="8"/>
  <c r="AP7" i="8"/>
  <c r="AY4" i="8"/>
  <c r="AJ47" i="8"/>
  <c r="D9" i="3"/>
  <c r="K54" i="8"/>
  <c r="AH44" i="8"/>
  <c r="W9" i="3"/>
  <c r="AO21" i="8"/>
  <c r="U36" i="8"/>
  <c r="E53" i="8"/>
  <c r="AL16" i="8"/>
  <c r="AI29" i="8"/>
  <c r="AL4" i="8"/>
  <c r="N49" i="8"/>
  <c r="U18" i="8"/>
  <c r="AJ36" i="8"/>
  <c r="Q48" i="8"/>
  <c r="X49" i="8"/>
  <c r="O36" i="8"/>
  <c r="P5" i="8"/>
  <c r="N34" i="8"/>
  <c r="AJ21" i="8"/>
  <c r="AL11" i="8"/>
  <c r="E34" i="8"/>
  <c r="AJ51" i="8"/>
  <c r="N32" i="8"/>
  <c r="I38" i="8"/>
  <c r="Z42" i="8"/>
  <c r="F14" i="8"/>
  <c r="S34" i="8"/>
  <c r="AV20" i="8"/>
  <c r="P21" i="34"/>
  <c r="AT31" i="8"/>
  <c r="Q28" i="8"/>
  <c r="BC19" i="8"/>
  <c r="AS8" i="8"/>
  <c r="W31" i="8"/>
  <c r="D40" i="8"/>
  <c r="O13" i="8"/>
  <c r="P25" i="34"/>
  <c r="J18" i="8"/>
  <c r="Z9" i="8"/>
  <c r="BA6" i="8"/>
  <c r="Q31" i="8"/>
  <c r="L43" i="8"/>
  <c r="AS16" i="8"/>
  <c r="AM47" i="8"/>
  <c r="AI38" i="8"/>
  <c r="S28" i="8"/>
  <c r="AL14" i="8"/>
  <c r="BA4" i="8"/>
  <c r="AS4" i="8"/>
  <c r="F3" i="8"/>
  <c r="AQ22" i="8"/>
  <c r="F36" i="8"/>
  <c r="AX37" i="8"/>
  <c r="Y34" i="8"/>
  <c r="AQ45" i="8"/>
  <c r="D36" i="8"/>
  <c r="S19" i="8"/>
  <c r="AU19" i="8"/>
  <c r="I41" i="8"/>
  <c r="AU43" i="8"/>
  <c r="AS34" i="8"/>
  <c r="S49" i="8"/>
  <c r="BA45" i="8"/>
  <c r="AS19" i="8"/>
  <c r="BA29" i="8"/>
  <c r="N20" i="8"/>
  <c r="AO35" i="8"/>
  <c r="AK12" i="8"/>
  <c r="AO31" i="8"/>
  <c r="AT48" i="8"/>
  <c r="AN13" i="8"/>
  <c r="H33" i="8"/>
  <c r="G10" i="8"/>
  <c r="N29" i="8"/>
  <c r="S35" i="8"/>
  <c r="BC31" i="8"/>
  <c r="P45" i="34"/>
  <c r="BA46" i="8"/>
  <c r="Q16" i="8"/>
  <c r="AL31" i="8"/>
  <c r="AP46" i="8"/>
  <c r="O27" i="8"/>
  <c r="Q39" i="8"/>
  <c r="S39" i="8"/>
  <c r="AT40" i="8"/>
  <c r="L49" i="8"/>
  <c r="P25" i="8"/>
  <c r="AO51" i="8"/>
  <c r="AY19" i="8"/>
  <c r="S51" i="8"/>
  <c r="AR13" i="8"/>
  <c r="M20" i="8"/>
  <c r="N8" i="8"/>
  <c r="I48" i="8"/>
  <c r="N18" i="8"/>
  <c r="M50" i="8"/>
  <c r="AT34" i="8"/>
  <c r="AO30" i="8"/>
  <c r="G12" i="8"/>
  <c r="G37" i="8"/>
  <c r="D8" i="8"/>
  <c r="R10" i="8"/>
  <c r="X40" i="8"/>
  <c r="H31" i="8"/>
  <c r="AQ36" i="8"/>
  <c r="Q54" i="8"/>
  <c r="AQ41" i="8"/>
  <c r="BA26" i="8"/>
  <c r="K52" i="8"/>
  <c r="AT10" i="8"/>
  <c r="AO6" i="8"/>
  <c r="AQ7" i="8"/>
  <c r="AM20" i="8"/>
  <c r="AK19" i="8"/>
  <c r="I5" i="8"/>
  <c r="AU20" i="8"/>
  <c r="AY5" i="8"/>
  <c r="D4" i="8"/>
  <c r="W15" i="8"/>
  <c r="AZ11" i="8"/>
  <c r="AR44" i="8"/>
  <c r="Z23" i="8"/>
  <c r="AO20" i="8"/>
  <c r="G49" i="8"/>
  <c r="O48" i="8"/>
  <c r="AW35" i="8"/>
  <c r="Y40" i="8"/>
  <c r="AQ9" i="8"/>
  <c r="F37" i="8"/>
  <c r="AS5" i="8"/>
  <c r="BC10" i="8"/>
  <c r="I32" i="8"/>
  <c r="E8" i="8"/>
  <c r="AQ21" i="8"/>
  <c r="Q33" i="8"/>
  <c r="AK32" i="8"/>
  <c r="V34" i="8"/>
  <c r="U23" i="8"/>
  <c r="T28" i="8"/>
  <c r="M12" i="8"/>
  <c r="AR28" i="8"/>
  <c r="Q53" i="8"/>
  <c r="M49" i="8"/>
  <c r="U7" i="8"/>
  <c r="F12" i="8"/>
  <c r="AH41" i="8"/>
  <c r="BB21" i="8"/>
  <c r="AY14" i="8"/>
  <c r="AL13" i="8"/>
  <c r="Q42" i="8"/>
  <c r="H29" i="8"/>
  <c r="P19" i="8"/>
  <c r="F35" i="8"/>
  <c r="P40" i="34"/>
  <c r="AS44" i="8"/>
  <c r="S5" i="8"/>
  <c r="BC14" i="8"/>
  <c r="AR45" i="8"/>
  <c r="Q21" i="8"/>
  <c r="D29" i="8"/>
  <c r="AV52" i="8"/>
  <c r="Y41" i="8"/>
  <c r="AZ34" i="8"/>
  <c r="K23" i="8"/>
  <c r="AW21" i="8"/>
  <c r="AW41" i="8"/>
  <c r="V50" i="8"/>
  <c r="BB8" i="8"/>
  <c r="AP23" i="8"/>
  <c r="K30" i="8"/>
  <c r="AO12" i="8"/>
  <c r="AG19" i="8"/>
  <c r="AY12" i="8"/>
  <c r="M45" i="8"/>
  <c r="R18" i="8"/>
  <c r="AS27" i="8"/>
  <c r="P14" i="8"/>
  <c r="N47" i="8"/>
  <c r="I49" i="8"/>
  <c r="M7" i="8"/>
  <c r="AP15" i="8"/>
  <c r="AQ47" i="8"/>
  <c r="AY9" i="8"/>
  <c r="L46" i="8"/>
  <c r="AZ24" i="8"/>
  <c r="AI42" i="8"/>
  <c r="AS36" i="8"/>
  <c r="AM24" i="8"/>
  <c r="AX22" i="8"/>
  <c r="AG45" i="8"/>
  <c r="S6" i="8"/>
  <c r="AP10" i="8"/>
  <c r="N11" i="8"/>
  <c r="F19" i="8"/>
  <c r="AX34" i="8"/>
  <c r="Z12" i="8"/>
  <c r="U27" i="8"/>
  <c r="AS28" i="8"/>
  <c r="P40" i="8"/>
  <c r="U6" i="8"/>
  <c r="AQ23" i="8"/>
  <c r="V36" i="8"/>
  <c r="AP32" i="8"/>
  <c r="AQ20" i="8"/>
  <c r="M33" i="8"/>
  <c r="S27" i="8"/>
  <c r="Q11" i="8"/>
  <c r="K33" i="8"/>
  <c r="U9" i="8"/>
  <c r="J5" i="8"/>
  <c r="O52" i="8"/>
  <c r="AV53" i="8"/>
  <c r="AV38" i="8"/>
  <c r="AU21" i="8"/>
  <c r="T8" i="8"/>
  <c r="P28" i="34"/>
  <c r="E27" i="8"/>
  <c r="T33" i="8"/>
  <c r="F52" i="8"/>
  <c r="N16" i="8"/>
  <c r="BC21" i="8"/>
  <c r="AM15" i="8"/>
  <c r="AU30" i="8"/>
  <c r="N25" i="8"/>
  <c r="H21" i="8"/>
  <c r="Z31" i="8"/>
  <c r="F17" i="8"/>
  <c r="X48" i="8"/>
  <c r="T11" i="8"/>
  <c r="AN7" i="8"/>
  <c r="AP6" i="8"/>
  <c r="R9" i="3"/>
  <c r="M25" i="8"/>
  <c r="E36" i="8"/>
  <c r="AY47" i="8"/>
  <c r="E35" i="8"/>
  <c r="AX32" i="8"/>
  <c r="H22" i="8"/>
  <c r="AQ10" i="8"/>
  <c r="R19" i="8"/>
  <c r="AO34" i="8"/>
  <c r="AP16" i="8"/>
  <c r="G7" i="8"/>
  <c r="AR17" i="8"/>
  <c r="G16" i="8"/>
  <c r="AM28" i="8"/>
  <c r="R27" i="8"/>
  <c r="Z34" i="8"/>
  <c r="AO4" i="8"/>
  <c r="BC13" i="8"/>
  <c r="D37" i="8"/>
  <c r="AR16" i="8"/>
  <c r="AV33" i="8"/>
  <c r="L17" i="8"/>
  <c r="BA10" i="8"/>
  <c r="X21" i="8"/>
  <c r="AV17" i="8"/>
  <c r="AM29" i="8"/>
  <c r="AQ24" i="8"/>
  <c r="AT8" i="8"/>
  <c r="AW13" i="8"/>
  <c r="L5" i="8"/>
  <c r="AT14" i="8"/>
  <c r="U30" i="8"/>
  <c r="P45" i="8"/>
  <c r="Y14" i="8"/>
  <c r="R47" i="8"/>
  <c r="U15" i="8"/>
  <c r="F42" i="8"/>
  <c r="N4" i="8"/>
  <c r="AR15" i="8"/>
  <c r="AQ46" i="8"/>
  <c r="AO41" i="8"/>
  <c r="N14" i="8"/>
  <c r="P22" i="34"/>
  <c r="AR22" i="8"/>
  <c r="AX27" i="8"/>
  <c r="AY28" i="8"/>
  <c r="J33" i="8"/>
  <c r="BA9" i="8"/>
  <c r="AH42" i="8"/>
  <c r="G44" i="8"/>
  <c r="AW44" i="8"/>
  <c r="AO45" i="8"/>
  <c r="P3" i="34"/>
  <c r="AR36" i="8"/>
  <c r="I47" i="8"/>
  <c r="AS48" i="8"/>
  <c r="BA49" i="8"/>
  <c r="T6" i="8"/>
  <c r="AK43" i="8"/>
  <c r="R34" i="8"/>
  <c r="AJ32" i="8"/>
  <c r="Q14" i="8"/>
  <c r="AP25" i="8"/>
  <c r="D52" i="8"/>
  <c r="X29" i="8"/>
  <c r="I51" i="8"/>
  <c r="AY33" i="8"/>
  <c r="AM43" i="8"/>
  <c r="AY11" i="8"/>
  <c r="AQ29" i="8"/>
  <c r="AK22" i="8"/>
  <c r="W20" i="8"/>
  <c r="D15" i="8"/>
  <c r="N35" i="8"/>
  <c r="AJ16" i="8"/>
  <c r="H14" i="8"/>
  <c r="J15" i="8"/>
  <c r="AW29" i="8"/>
  <c r="AZ37" i="8"/>
  <c r="R26" i="8"/>
  <c r="U34" i="8"/>
  <c r="AQ15" i="8"/>
  <c r="AL29" i="8"/>
  <c r="J9" i="8"/>
  <c r="S24" i="8"/>
  <c r="P13" i="8"/>
  <c r="D22" i="8"/>
  <c r="I26" i="8"/>
  <c r="AK14" i="8"/>
  <c r="T15" i="8"/>
  <c r="N53" i="8"/>
  <c r="F15" i="8"/>
  <c r="I17" i="8"/>
  <c r="M28" i="8"/>
  <c r="AK49" i="8"/>
  <c r="W26" i="8"/>
  <c r="AR14" i="8"/>
  <c r="P11" i="8"/>
  <c r="V38" i="8"/>
  <c r="X31" i="8"/>
  <c r="Y16" i="8"/>
  <c r="F48" i="8"/>
  <c r="P41" i="34"/>
  <c r="J45" i="8"/>
  <c r="X41" i="8"/>
  <c r="L14" i="8"/>
  <c r="M3" i="8"/>
  <c r="P37" i="8"/>
  <c r="AG14" i="8"/>
  <c r="AW27" i="8"/>
  <c r="Y37" i="8"/>
  <c r="J37" i="8"/>
  <c r="H2" i="3"/>
  <c r="E44" i="8"/>
  <c r="AS9" i="8"/>
  <c r="Q32" i="8"/>
  <c r="AS31" i="8"/>
  <c r="AM51" i="8"/>
  <c r="AJ23" i="8"/>
  <c r="Y17" i="8"/>
  <c r="J29" i="8"/>
  <c r="F5" i="8"/>
  <c r="AZ21" i="8"/>
  <c r="AX29" i="8"/>
  <c r="K26" i="8"/>
  <c r="BB28" i="8"/>
  <c r="BA23" i="8"/>
  <c r="X43" i="8"/>
  <c r="AO11" i="8"/>
  <c r="I20" i="8"/>
  <c r="P31" i="34"/>
  <c r="K44" i="8"/>
  <c r="H48" i="8"/>
  <c r="AN12" i="8"/>
  <c r="AK30" i="8"/>
  <c r="BA13" i="8"/>
  <c r="H20" i="8"/>
  <c r="H38" i="8"/>
  <c r="O44" i="8"/>
  <c r="E23" i="8"/>
  <c r="Y51" i="8"/>
  <c r="K25" i="8"/>
  <c r="AP48" i="8"/>
  <c r="D50" i="8"/>
  <c r="AV15" i="8"/>
  <c r="AV46" i="8"/>
  <c r="J44" i="8"/>
  <c r="W6" i="8"/>
  <c r="K35" i="8"/>
  <c r="AP12" i="8"/>
  <c r="X3" i="8"/>
  <c r="AV3" i="8"/>
  <c r="AV24" i="8"/>
  <c r="BA52" i="8"/>
  <c r="L9" i="3"/>
  <c r="P27" i="8"/>
  <c r="AS30" i="8"/>
  <c r="P19" i="34"/>
  <c r="AG10" i="8"/>
  <c r="W41" i="8"/>
  <c r="T52" i="8"/>
  <c r="E31" i="8"/>
  <c r="AI18" i="8"/>
  <c r="AS20" i="8"/>
  <c r="X9" i="8"/>
  <c r="AZ32" i="8"/>
  <c r="AT21" i="8"/>
  <c r="R28" i="8"/>
  <c r="AL32" i="8"/>
  <c r="Q8" i="8"/>
  <c r="O42" i="8"/>
  <c r="H53" i="8"/>
  <c r="AG11" i="8"/>
  <c r="AL53" i="8"/>
  <c r="Y13" i="8"/>
  <c r="N31" i="8"/>
  <c r="E9" i="8"/>
  <c r="AI25" i="8"/>
  <c r="AI36" i="8"/>
  <c r="H23" i="8"/>
  <c r="AT27" i="8"/>
  <c r="AZ14" i="8"/>
  <c r="U28" i="8"/>
  <c r="G33" i="8"/>
  <c r="P7" i="8"/>
  <c r="H47" i="8"/>
  <c r="F9" i="3"/>
  <c r="I46" i="8"/>
  <c r="H7" i="8"/>
  <c r="L40" i="8"/>
  <c r="I42" i="8"/>
  <c r="W10" i="8"/>
  <c r="AM46" i="8"/>
  <c r="S40" i="8"/>
  <c r="L31" i="8"/>
  <c r="E48" i="8"/>
  <c r="AW45" i="8"/>
  <c r="AH43" i="8"/>
  <c r="S14" i="8"/>
  <c r="AW19" i="8"/>
  <c r="AM39" i="8"/>
  <c r="AV21" i="8"/>
  <c r="R36" i="8"/>
  <c r="AN27" i="8"/>
  <c r="N15" i="8"/>
  <c r="F38" i="8"/>
  <c r="AU52" i="8"/>
  <c r="AU26" i="8"/>
  <c r="AN34" i="8"/>
  <c r="O37" i="8"/>
  <c r="E25" i="8"/>
  <c r="AX26" i="8"/>
  <c r="X50" i="8"/>
  <c r="AQ44" i="8"/>
  <c r="AM41" i="8"/>
  <c r="AK26" i="8"/>
  <c r="Q35" i="8"/>
  <c r="BB6" i="8"/>
  <c r="O53" i="8"/>
  <c r="T51" i="8"/>
  <c r="Q19" i="8"/>
  <c r="R50" i="8"/>
  <c r="L9" i="8"/>
  <c r="BC22" i="8"/>
  <c r="AP45" i="8"/>
  <c r="S32" i="8"/>
  <c r="P7" i="34"/>
  <c r="T48" i="8"/>
  <c r="AQ27" i="8"/>
  <c r="R17" i="8"/>
  <c r="N40" i="8"/>
  <c r="AQ32" i="8"/>
  <c r="AO3" i="8"/>
  <c r="AN50" i="8"/>
  <c r="Y9" i="3"/>
  <c r="V21" i="8"/>
  <c r="F30" i="8"/>
  <c r="O3" i="8"/>
  <c r="I21" i="8"/>
  <c r="W37" i="8"/>
  <c r="P32" i="34"/>
  <c r="AR26" i="8"/>
  <c r="Z36" i="8"/>
  <c r="K39" i="8"/>
  <c r="I50" i="8"/>
  <c r="V46" i="8"/>
  <c r="AH20" i="8"/>
  <c r="AZ31" i="8"/>
  <c r="AV12" i="8"/>
  <c r="AW52" i="8"/>
  <c r="AG48" i="8"/>
  <c r="I27" i="8"/>
  <c r="AY17" i="8"/>
  <c r="AT9" i="8"/>
  <c r="AT35" i="8"/>
  <c r="R13" i="8"/>
  <c r="AT43" i="8"/>
  <c r="P18" i="8"/>
  <c r="E50" i="8"/>
  <c r="K22" i="8"/>
  <c r="AU41" i="8"/>
  <c r="Z28" i="8"/>
  <c r="F9" i="8"/>
  <c r="M9" i="8"/>
  <c r="Y6" i="8"/>
  <c r="AM32" i="8"/>
  <c r="AL26" i="8"/>
  <c r="AG17" i="8"/>
  <c r="AN36" i="8"/>
  <c r="AX48" i="8"/>
  <c r="H50" i="8"/>
  <c r="AV18" i="8"/>
  <c r="O22" i="8"/>
  <c r="K31" i="8"/>
  <c r="I53" i="8"/>
  <c r="U44" i="8"/>
  <c r="AL5" i="8"/>
  <c r="V16" i="8"/>
  <c r="N30" i="8"/>
  <c r="AI9" i="8"/>
  <c r="P49" i="8"/>
  <c r="R9" i="8"/>
  <c r="F16" i="8"/>
  <c r="BB47" i="8"/>
  <c r="R33" i="8"/>
  <c r="AO18" i="8"/>
  <c r="W7" i="8"/>
  <c r="U51" i="8"/>
  <c r="X16" i="8"/>
  <c r="Y50" i="8"/>
  <c r="AH50" i="8"/>
  <c r="AL10" i="8"/>
  <c r="AU53" i="8"/>
  <c r="C9" i="3"/>
  <c r="AV49" i="8"/>
  <c r="R42" i="8"/>
  <c r="Z26" i="8"/>
  <c r="AX16" i="8"/>
  <c r="AM37" i="8"/>
  <c r="N36" i="8"/>
  <c r="AS45" i="8"/>
  <c r="Z29" i="8"/>
  <c r="AQ13" i="8"/>
  <c r="AM31" i="8"/>
  <c r="AY46" i="8"/>
  <c r="AZ53" i="8"/>
  <c r="M52" i="8"/>
  <c r="AM48" i="8"/>
  <c r="P30" i="8"/>
  <c r="AK39" i="8"/>
  <c r="S41" i="8"/>
  <c r="AW46" i="8"/>
  <c r="AW38" i="8"/>
  <c r="AQ4" i="8"/>
  <c r="AL17" i="8"/>
  <c r="AL51" i="8"/>
  <c r="N37" i="8"/>
  <c r="AO37" i="8"/>
  <c r="P44" i="34"/>
  <c r="D18" i="8"/>
  <c r="K41" i="8"/>
  <c r="AQ6" i="8"/>
  <c r="BB44" i="8"/>
  <c r="AG15" i="8"/>
  <c r="H19" i="8"/>
  <c r="Q9" i="8"/>
  <c r="M4" i="8"/>
  <c r="AK15" i="8"/>
  <c r="Z14" i="8"/>
  <c r="AK20" i="8"/>
  <c r="D46" i="8"/>
  <c r="AV22" i="8"/>
  <c r="AV45" i="8"/>
  <c r="Z39" i="8"/>
  <c r="AH49" i="8"/>
  <c r="AT50" i="8"/>
  <c r="E49" i="8"/>
  <c r="BA22" i="8"/>
  <c r="AG22" i="8"/>
  <c r="K49" i="8"/>
  <c r="AZ22" i="8"/>
  <c r="M24" i="8"/>
  <c r="P29" i="8"/>
  <c r="H26" i="8"/>
  <c r="AX30" i="8"/>
  <c r="AU27" i="8"/>
  <c r="BB30" i="8"/>
  <c r="AX21" i="8"/>
  <c r="O40" i="8"/>
  <c r="H41" i="8"/>
  <c r="T37" i="8"/>
  <c r="N50" i="8"/>
  <c r="AI20" i="8"/>
  <c r="X53" i="8"/>
  <c r="L30" i="8"/>
  <c r="AG51" i="8"/>
  <c r="V33" i="8"/>
  <c r="E51" i="8"/>
  <c r="AR18" i="8"/>
  <c r="AR5" i="8"/>
  <c r="P50" i="8"/>
  <c r="N3" i="8"/>
  <c r="W33" i="8"/>
  <c r="R7" i="8"/>
  <c r="S48" i="8"/>
  <c r="R40" i="8"/>
  <c r="Z16" i="8"/>
  <c r="M9" i="3"/>
  <c r="U11" i="8"/>
  <c r="AV37" i="8"/>
  <c r="V15" i="8"/>
  <c r="AH5" i="8"/>
  <c r="AQ48" i="8"/>
  <c r="AH10" i="8"/>
  <c r="AP11" i="8"/>
  <c r="AQ3" i="8"/>
  <c r="L24" i="8"/>
  <c r="AZ43" i="8"/>
  <c r="AK41" i="8"/>
  <c r="K45" i="8"/>
  <c r="P33" i="34"/>
  <c r="Y30" i="8"/>
  <c r="H16" i="8"/>
  <c r="AM50" i="8"/>
  <c r="O28" i="8"/>
  <c r="W52" i="8"/>
  <c r="P15" i="34"/>
  <c r="AI4" i="8"/>
  <c r="AO32" i="8"/>
  <c r="AJ48" i="8"/>
  <c r="V4" i="8"/>
  <c r="X44" i="8"/>
  <c r="BB45" i="8"/>
  <c r="N51" i="8"/>
  <c r="P49" i="34"/>
  <c r="BA11" i="8"/>
  <c r="AX3" i="8"/>
  <c r="M44" i="8"/>
  <c r="P29" i="34"/>
  <c r="BC23" i="8"/>
  <c r="AV9" i="8"/>
  <c r="BC45" i="8"/>
  <c r="AP42" i="8"/>
  <c r="AZ23" i="8"/>
  <c r="AT33" i="8"/>
  <c r="E7" i="8"/>
  <c r="N54" i="8"/>
  <c r="M14" i="8"/>
  <c r="F32" i="8"/>
  <c r="AL36" i="8"/>
  <c r="AU13" i="8"/>
  <c r="G25" i="8"/>
  <c r="AU51" i="8"/>
  <c r="AY32" i="8"/>
  <c r="Q22" i="8"/>
  <c r="AK10" i="8"/>
  <c r="T22" i="8"/>
  <c r="I6" i="8"/>
  <c r="V12" i="8"/>
  <c r="U31" i="8"/>
  <c r="AN28" i="8"/>
  <c r="J38" i="8"/>
  <c r="N43" i="8"/>
  <c r="N52" i="8"/>
  <c r="AZ7" i="8"/>
  <c r="AZ30" i="8"/>
  <c r="K24" i="8"/>
  <c r="AP30" i="8"/>
  <c r="L32" i="8"/>
  <c r="AO5" i="8"/>
  <c r="AW40" i="8"/>
  <c r="AN41" i="8"/>
  <c r="AK4" i="8"/>
  <c r="BA44" i="8"/>
  <c r="AJ42" i="8"/>
  <c r="AM8" i="8"/>
  <c r="AQ17" i="8"/>
  <c r="K29" i="8"/>
  <c r="AL18" i="8"/>
  <c r="AO42" i="8"/>
  <c r="O16" i="8"/>
  <c r="T5" i="8"/>
  <c r="P51" i="34"/>
  <c r="AP39" i="8"/>
  <c r="U43" i="8"/>
  <c r="P46" i="8"/>
  <c r="L51" i="8"/>
  <c r="BA53" i="8"/>
  <c r="AR10" i="8"/>
  <c r="AT26" i="8"/>
  <c r="I13" i="8"/>
  <c r="AU36" i="8"/>
  <c r="F33" i="8"/>
  <c r="W4" i="8"/>
  <c r="AZ39" i="8"/>
  <c r="BC49" i="8"/>
  <c r="AK27" i="8"/>
  <c r="AL28" i="8"/>
  <c r="AQ26" i="8"/>
  <c r="AU33" i="8"/>
  <c r="AO24" i="8"/>
  <c r="AX9" i="8"/>
  <c r="I33" i="8"/>
  <c r="Z4" i="8"/>
  <c r="U33" i="8"/>
  <c r="AV25" i="8"/>
  <c r="AO26" i="8"/>
  <c r="O46" i="8"/>
  <c r="X12" i="8"/>
  <c r="P20" i="8"/>
  <c r="AS53" i="8"/>
  <c r="AP43" i="8"/>
  <c r="AI17" i="8"/>
  <c r="J25" i="8"/>
  <c r="I18" i="8"/>
  <c r="V27" i="8"/>
  <c r="N42" i="8"/>
  <c r="D42" i="8"/>
  <c r="AM30" i="8"/>
  <c r="U13" i="8"/>
  <c r="AN35" i="8"/>
  <c r="X26" i="8"/>
  <c r="F24" i="8"/>
  <c r="P12" i="8"/>
  <c r="N17" i="8"/>
  <c r="O50" i="8"/>
  <c r="G18" i="8"/>
  <c r="N46" i="8"/>
  <c r="AX23" i="8"/>
  <c r="AZ50" i="8"/>
  <c r="F41" i="8"/>
  <c r="AN6" i="8"/>
  <c r="AK53" i="8"/>
  <c r="AO53" i="8"/>
  <c r="K11" i="8"/>
  <c r="AK37" i="8"/>
  <c r="P23" i="8"/>
  <c r="BC39" i="8"/>
  <c r="U42" i="8"/>
  <c r="U10" i="8"/>
  <c r="G21" i="8"/>
  <c r="AN32" i="8"/>
  <c r="X5" i="8"/>
  <c r="BC36" i="8"/>
  <c r="M53" i="8"/>
  <c r="S43" i="8"/>
  <c r="I9" i="8"/>
  <c r="AR52" i="8"/>
  <c r="P30" i="34"/>
  <c r="Z41" i="8"/>
  <c r="AU40" i="8"/>
  <c r="V47" i="8"/>
  <c r="U12" i="8"/>
  <c r="U47" i="8"/>
  <c r="Z7" i="8"/>
  <c r="P23" i="34"/>
  <c r="P34" i="34"/>
  <c r="AY50" i="8"/>
  <c r="AL33" i="8"/>
  <c r="W42" i="8"/>
  <c r="O23" i="8"/>
  <c r="W32" i="8"/>
  <c r="AQ14" i="8"/>
  <c r="AV31" i="8"/>
  <c r="AR4" i="8"/>
  <c r="I43" i="8"/>
  <c r="N38" i="8"/>
  <c r="Z52" i="8"/>
  <c r="BB15" i="8"/>
  <c r="AY26" i="8"/>
  <c r="AY49" i="8"/>
  <c r="AK24" i="8"/>
  <c r="AY18" i="8"/>
  <c r="W46" i="8"/>
  <c r="P17" i="8"/>
  <c r="P37" i="34"/>
  <c r="F18" i="8"/>
  <c r="AH29" i="8"/>
  <c r="P42" i="34"/>
  <c r="H25" i="8"/>
  <c r="P10" i="34"/>
  <c r="AZ13" i="8"/>
  <c r="AU22" i="8"/>
  <c r="J35" i="8"/>
  <c r="BA40" i="8"/>
  <c r="AT28" i="8"/>
  <c r="N23" i="8"/>
  <c r="AI15" i="8"/>
  <c r="BA36" i="8"/>
  <c r="W28" i="8"/>
  <c r="AV4" i="8"/>
  <c r="AI45" i="8"/>
  <c r="L12" i="8"/>
  <c r="P39" i="34"/>
  <c r="I34" i="8"/>
  <c r="AW39" i="8"/>
  <c r="H11" i="8"/>
  <c r="AH13" i="8"/>
  <c r="AQ43" i="8"/>
  <c r="AO14" i="8"/>
  <c r="P41" i="8"/>
  <c r="AM19" i="8"/>
  <c r="AQ40" i="8"/>
  <c r="K15" i="8"/>
  <c r="AT5" i="8"/>
  <c r="BB4" i="8"/>
  <c r="K9" i="8"/>
  <c r="BA39" i="8"/>
  <c r="V5" i="8"/>
  <c r="X19" i="8"/>
  <c r="V51" i="8"/>
  <c r="Z11" i="8"/>
  <c r="AY43" i="8"/>
  <c r="AU6" i="8"/>
  <c r="X9" i="3"/>
  <c r="N44" i="8"/>
  <c r="P47" i="34"/>
  <c r="AL6" i="8"/>
  <c r="P52" i="8"/>
  <c r="V19" i="8"/>
  <c r="AO19" i="8"/>
  <c r="G3" i="8"/>
  <c r="AK25" i="8"/>
  <c r="AH35" i="8"/>
  <c r="AS13" i="8"/>
  <c r="E45" i="8"/>
  <c r="U46" i="8"/>
  <c r="J41" i="8"/>
  <c r="AG18" i="8"/>
  <c r="K48" i="8"/>
  <c r="AH53" i="8"/>
  <c r="AK28" i="8"/>
  <c r="I15" i="8"/>
  <c r="AV8" i="8"/>
  <c r="AN42" i="8"/>
  <c r="AX12" i="8"/>
  <c r="AY40" i="8"/>
  <c r="AN29" i="8"/>
  <c r="BB27" i="8"/>
  <c r="R41" i="8"/>
  <c r="D12" i="8"/>
  <c r="M17" i="8"/>
  <c r="M54" i="8"/>
  <c r="AQ35" i="8"/>
  <c r="BA33" i="8"/>
  <c r="AH6" i="8"/>
  <c r="U21" i="8"/>
  <c r="AN33" i="8"/>
  <c r="D41" i="8"/>
  <c r="AY27" i="8"/>
  <c r="H34" i="8"/>
  <c r="E10" i="8"/>
  <c r="AM9" i="8"/>
  <c r="AJ25" i="8"/>
  <c r="AX43" i="8"/>
  <c r="R8" i="8"/>
  <c r="AM33" i="8"/>
  <c r="AT42" i="8"/>
  <c r="N48" i="8"/>
  <c r="F47" i="8"/>
  <c r="AJ50" i="8"/>
  <c r="AX13" i="8"/>
  <c r="Z8" i="8"/>
  <c r="H44" i="8"/>
  <c r="O24" i="8"/>
  <c r="AY34" i="8"/>
  <c r="AN20" i="8"/>
  <c r="L45" i="8"/>
  <c r="J10" i="8"/>
  <c r="AT7" i="8"/>
  <c r="O21" i="8"/>
  <c r="AQ12" i="8"/>
  <c r="T35" i="8"/>
  <c r="P54" i="8"/>
  <c r="AG25" i="8"/>
  <c r="M40" i="8"/>
  <c r="AQ11" i="8"/>
  <c r="R53" i="8"/>
  <c r="BB42" i="8"/>
  <c r="L22" i="8"/>
  <c r="AV28" i="8"/>
  <c r="J23" i="8"/>
  <c r="G40" i="8"/>
  <c r="AH39" i="8"/>
  <c r="AU5" i="8"/>
  <c r="F7" i="8"/>
  <c r="N21" i="8"/>
  <c r="AP13" i="8"/>
  <c r="AX38" i="8"/>
  <c r="G23" i="8"/>
  <c r="N22" i="8"/>
  <c r="Z53" i="8"/>
  <c r="Y27" i="8"/>
  <c r="AQ50" i="8"/>
  <c r="AX53" i="8"/>
  <c r="L41" i="8"/>
  <c r="AK23" i="8"/>
  <c r="G22" i="8"/>
  <c r="Q15" i="8"/>
  <c r="AJ7" i="8"/>
  <c r="U54" i="8"/>
  <c r="AQ37" i="8"/>
  <c r="V11" i="8"/>
  <c r="W34" i="8"/>
  <c r="BA27" i="8"/>
  <c r="P35" i="34"/>
  <c r="AT6" i="8"/>
  <c r="T47" i="8"/>
  <c r="AL48" i="8"/>
  <c r="P24" i="34"/>
  <c r="AM16" i="8"/>
  <c r="AQ31" i="8"/>
  <c r="AV11" i="8"/>
  <c r="AT36" i="8"/>
  <c r="G48" i="8"/>
  <c r="AM18" i="8"/>
  <c r="AR37" i="8"/>
  <c r="X22" i="8"/>
  <c r="I30" i="8"/>
  <c r="Y20" i="8"/>
  <c r="V20" i="8"/>
  <c r="AS15" i="8"/>
  <c r="AV13" i="8"/>
  <c r="AP35" i="8"/>
  <c r="AG46" i="8"/>
  <c r="V40" i="8"/>
  <c r="N19" i="8"/>
  <c r="AQ19" i="8"/>
  <c r="X38" i="8"/>
  <c r="W11" i="8"/>
  <c r="K51" i="8"/>
  <c r="AG6" i="8"/>
  <c r="N28" i="8"/>
  <c r="AN37" i="8"/>
  <c r="X27" i="8"/>
  <c r="T32" i="8"/>
  <c r="C103" i="5" l="1"/>
  <c r="AA38" i="8"/>
  <c r="C41" i="5"/>
  <c r="AA30" i="8"/>
  <c r="C95" i="5"/>
  <c r="D26" i="34"/>
  <c r="K26" i="34" s="1"/>
  <c r="C85" i="5"/>
  <c r="C15" i="5"/>
  <c r="AA7" i="8"/>
  <c r="G56" i="34"/>
  <c r="C5" i="5"/>
  <c r="C65" i="5"/>
  <c r="AA23" i="8"/>
  <c r="G76" i="5"/>
  <c r="G12" i="36"/>
  <c r="G11" i="5"/>
  <c r="BD4" i="8"/>
  <c r="Y7" i="4" s="1"/>
  <c r="BD17" i="8"/>
  <c r="T12" i="36"/>
  <c r="G83" i="5"/>
  <c r="G36" i="5"/>
  <c r="G14" i="5"/>
  <c r="G84" i="5"/>
  <c r="AA32" i="8"/>
  <c r="AI11" i="36"/>
  <c r="C32" i="5"/>
  <c r="C66" i="5"/>
  <c r="I36" i="34"/>
  <c r="AM12" i="36"/>
  <c r="BD8" i="8"/>
  <c r="G45" i="5"/>
  <c r="G79" i="5"/>
  <c r="K12" i="36"/>
  <c r="BD32" i="8"/>
  <c r="G66" i="5"/>
  <c r="AI12" i="36"/>
  <c r="G32" i="5"/>
  <c r="G33" i="5"/>
  <c r="G67" i="5"/>
  <c r="BD52" i="8"/>
  <c r="AO11" i="36"/>
  <c r="D38" i="34"/>
  <c r="K38" i="34" s="1"/>
  <c r="I35" i="34"/>
  <c r="K35" i="34" s="1"/>
  <c r="AL12" i="36"/>
  <c r="L22" i="34"/>
  <c r="M22" i="34"/>
  <c r="L44" i="34"/>
  <c r="R12" i="36"/>
  <c r="BD15" i="8"/>
  <c r="G106" i="5"/>
  <c r="G52" i="5"/>
  <c r="BB12" i="36"/>
  <c r="K31" i="34"/>
  <c r="C28" i="5"/>
  <c r="C111" i="5"/>
  <c r="K5" i="34"/>
  <c r="K19" i="34"/>
  <c r="U12" i="36"/>
  <c r="G7" i="5"/>
  <c r="M34" i="34"/>
  <c r="BD9" i="8"/>
  <c r="G90" i="5"/>
  <c r="BD6" i="8"/>
  <c r="BD19" i="8"/>
  <c r="V12" i="36"/>
  <c r="C13" i="5"/>
  <c r="AA35" i="8"/>
  <c r="K33" i="34"/>
  <c r="D15" i="34"/>
  <c r="R11" i="36"/>
  <c r="K43" i="34"/>
  <c r="AR11" i="36"/>
  <c r="D41" i="34"/>
  <c r="G51" i="5"/>
  <c r="G104" i="5"/>
  <c r="Y12" i="36"/>
  <c r="G87" i="5"/>
  <c r="BD33" i="8"/>
  <c r="C50" i="5"/>
  <c r="C102" i="5"/>
  <c r="AA37" i="8"/>
  <c r="L12" i="36"/>
  <c r="K4" i="34"/>
  <c r="BA11" i="36"/>
  <c r="C23" i="5"/>
  <c r="AX11" i="36"/>
  <c r="I45" i="34"/>
  <c r="AV12" i="36"/>
  <c r="AQ12" i="36"/>
  <c r="I40" i="34"/>
  <c r="C52" i="5"/>
  <c r="BD35" i="8"/>
  <c r="G13" i="5"/>
  <c r="BC12" i="36"/>
  <c r="C44" i="5"/>
  <c r="AA42" i="8"/>
  <c r="G18" i="5"/>
  <c r="K47" i="34"/>
  <c r="AV11" i="36"/>
  <c r="AQ11" i="36"/>
  <c r="K11" i="34"/>
  <c r="D6" i="34"/>
  <c r="O12" i="36"/>
  <c r="BD12" i="8"/>
  <c r="BD37" i="8"/>
  <c r="G50" i="5"/>
  <c r="G9" i="5"/>
  <c r="BD48" i="8"/>
  <c r="AY12" i="36"/>
  <c r="C77" i="5"/>
  <c r="AA31" i="8"/>
  <c r="AD11" i="36"/>
  <c r="G37" i="5"/>
  <c r="AO12" i="36"/>
  <c r="G103" i="5"/>
  <c r="AA5" i="8"/>
  <c r="C109" i="5"/>
  <c r="I39" i="34"/>
  <c r="AP12" i="36"/>
  <c r="D45" i="34"/>
  <c r="K45" i="34" s="1"/>
  <c r="L45" i="34" s="1"/>
  <c r="AL11" i="36"/>
  <c r="D28" i="34"/>
  <c r="K28" i="34" s="1"/>
  <c r="W11" i="36"/>
  <c r="M12" i="36"/>
  <c r="S12" i="36"/>
  <c r="G105" i="5"/>
  <c r="AW12" i="36"/>
  <c r="D32" i="34"/>
  <c r="K32" i="34" s="1"/>
  <c r="L32" i="34" s="1"/>
  <c r="AB11" i="36"/>
  <c r="D42" i="34"/>
  <c r="K42" i="34" s="1"/>
  <c r="D27" i="34"/>
  <c r="K27" i="34" s="1"/>
  <c r="J11" i="36"/>
  <c r="AP11" i="36"/>
  <c r="D29" i="34"/>
  <c r="F11" i="36"/>
  <c r="G43" i="5"/>
  <c r="D52" i="34"/>
  <c r="AJ12" i="36"/>
  <c r="H12" i="36"/>
  <c r="H11" i="36"/>
  <c r="B6" i="4"/>
  <c r="L7" i="3"/>
  <c r="O6" i="3"/>
  <c r="AC46" i="8"/>
  <c r="AD46" i="8"/>
  <c r="K6" i="4"/>
  <c r="F8" i="3"/>
  <c r="U6" i="4"/>
  <c r="G7" i="4"/>
  <c r="B7" i="4"/>
  <c r="AD45" i="8"/>
  <c r="AB45" i="8"/>
  <c r="AC45" i="8"/>
  <c r="AB25" i="8"/>
  <c r="AD25" i="8"/>
  <c r="AC25" i="8"/>
  <c r="C6" i="3"/>
  <c r="L8" i="3"/>
  <c r="BE30" i="8"/>
  <c r="AB5" i="8"/>
  <c r="AD5" i="8"/>
  <c r="AC5" i="8"/>
  <c r="N8" i="3"/>
  <c r="BE53" i="8"/>
  <c r="M6" i="3"/>
  <c r="E6" i="3"/>
  <c r="Q8" i="3"/>
  <c r="T6" i="4"/>
  <c r="L7" i="4"/>
  <c r="I7" i="3"/>
  <c r="D7" i="4"/>
  <c r="N7" i="3"/>
  <c r="T7" i="4"/>
  <c r="F6" i="4"/>
  <c r="AD30" i="8"/>
  <c r="AB30" i="8"/>
  <c r="AC30" i="8"/>
  <c r="L6" i="3"/>
  <c r="P6" i="3"/>
  <c r="AC27" i="8"/>
  <c r="AB27" i="8"/>
  <c r="AD27" i="8"/>
  <c r="X6" i="3"/>
  <c r="O7" i="3"/>
  <c r="AB8" i="8"/>
  <c r="AC8" i="8"/>
  <c r="AD8" i="8"/>
  <c r="U8" i="3"/>
  <c r="AD40" i="8"/>
  <c r="AC40" i="8"/>
  <c r="AB40" i="8"/>
  <c r="AD17" i="8"/>
  <c r="AC17" i="8"/>
  <c r="AB17" i="8"/>
  <c r="K6" i="3"/>
  <c r="BE45" i="8"/>
  <c r="BE5" i="8"/>
  <c r="C8" i="3"/>
  <c r="T6" i="3"/>
  <c r="BE19" i="8"/>
  <c r="Q6" i="4"/>
  <c r="L6" i="4"/>
  <c r="BE15" i="8"/>
  <c r="AB41" i="8"/>
  <c r="AD41" i="8"/>
  <c r="AC41" i="8"/>
  <c r="R7" i="4"/>
  <c r="S8" i="3"/>
  <c r="P8" i="3"/>
  <c r="X6" i="4"/>
  <c r="D7" i="3"/>
  <c r="V8" i="3"/>
  <c r="AD23" i="8"/>
  <c r="AB23" i="8"/>
  <c r="AC23" i="8"/>
  <c r="L2" i="3"/>
  <c r="V6" i="4"/>
  <c r="AB50" i="8"/>
  <c r="AD50" i="8"/>
  <c r="AC50" i="8"/>
  <c r="AC32" i="8"/>
  <c r="AB32" i="8"/>
  <c r="AD32" i="8"/>
  <c r="AC7" i="8"/>
  <c r="AD7" i="8"/>
  <c r="AB7" i="8"/>
  <c r="R6" i="4"/>
  <c r="J7" i="4"/>
  <c r="AC14" i="8"/>
  <c r="AD14" i="8"/>
  <c r="AB14" i="8"/>
  <c r="BE40" i="8"/>
  <c r="AD49" i="8"/>
  <c r="AC49" i="8"/>
  <c r="AB49" i="8"/>
  <c r="F7" i="4"/>
  <c r="AC16" i="8"/>
  <c r="AD16" i="8"/>
  <c r="AB16" i="8"/>
  <c r="BE27" i="8"/>
  <c r="BE4" i="8"/>
  <c r="N7" i="4"/>
  <c r="BE46" i="8"/>
  <c r="T7" i="3"/>
  <c r="V7" i="4"/>
  <c r="AD34" i="8"/>
  <c r="AB34" i="8"/>
  <c r="AC34" i="8"/>
  <c r="V6" i="3"/>
  <c r="AC12" i="8"/>
  <c r="AD12" i="8"/>
  <c r="AB12" i="8"/>
  <c r="AB9" i="8"/>
  <c r="AD9" i="8"/>
  <c r="AC9" i="8"/>
  <c r="K8" i="3"/>
  <c r="K7" i="3"/>
  <c r="G6" i="3"/>
  <c r="G6" i="4"/>
  <c r="BE16" i="8"/>
  <c r="BE13" i="8"/>
  <c r="T8" i="3"/>
  <c r="AC13" i="8"/>
  <c r="AD13" i="8"/>
  <c r="AB13" i="8"/>
  <c r="J7" i="3"/>
  <c r="G8" i="3"/>
  <c r="S7" i="3"/>
  <c r="AD37" i="8"/>
  <c r="AB37" i="8"/>
  <c r="AC37" i="8"/>
  <c r="D6" i="4"/>
  <c r="C7" i="4"/>
  <c r="J8" i="3"/>
  <c r="AC10" i="8"/>
  <c r="AD10" i="8"/>
  <c r="AB10" i="8"/>
  <c r="W6" i="4"/>
  <c r="F6" i="3"/>
  <c r="Q6" i="3"/>
  <c r="BE38" i="8"/>
  <c r="E8" i="3"/>
  <c r="BE48" i="8"/>
  <c r="P7" i="4"/>
  <c r="O7" i="4"/>
  <c r="P6" i="4"/>
  <c r="AD22" i="8"/>
  <c r="AC22" i="8"/>
  <c r="AB22" i="8"/>
  <c r="BE12" i="8"/>
  <c r="AC29" i="8"/>
  <c r="AB29" i="8"/>
  <c r="AD29" i="8"/>
  <c r="O8" i="3"/>
  <c r="BE35" i="8"/>
  <c r="AD4" i="8"/>
  <c r="AB4" i="8"/>
  <c r="N6" i="4"/>
  <c r="AC4" i="8"/>
  <c r="BE18" i="8"/>
  <c r="AC43" i="8"/>
  <c r="AB43" i="8"/>
  <c r="AD43" i="8"/>
  <c r="AB44" i="8"/>
  <c r="AD44" i="8"/>
  <c r="AC44" i="8"/>
  <c r="W8" i="3"/>
  <c r="X7" i="3"/>
  <c r="J6" i="3"/>
  <c r="B6" i="3"/>
  <c r="H8" i="3"/>
  <c r="C6" i="4"/>
  <c r="D8" i="3"/>
  <c r="C7" i="3"/>
  <c r="S6" i="4"/>
  <c r="R8" i="3"/>
  <c r="V7" i="3"/>
  <c r="H6" i="3"/>
  <c r="Q7" i="4"/>
  <c r="W7" i="4"/>
  <c r="W7" i="3"/>
  <c r="BE32" i="8"/>
  <c r="BE10" i="8"/>
  <c r="M7" i="3"/>
  <c r="B8" i="3"/>
  <c r="BE8" i="8"/>
  <c r="M7" i="4"/>
  <c r="I6" i="4"/>
  <c r="O6" i="4"/>
  <c r="E6" i="4"/>
  <c r="AB42" i="8"/>
  <c r="BE52" i="8"/>
  <c r="U7" i="3"/>
  <c r="I7" i="4"/>
  <c r="BE37" i="8"/>
  <c r="BE51" i="8"/>
  <c r="U6" i="3"/>
  <c r="G7" i="3"/>
  <c r="H6" i="4"/>
  <c r="M6" i="4"/>
  <c r="AB26" i="8"/>
  <c r="AC26" i="8"/>
  <c r="AD26" i="8"/>
  <c r="AB35" i="8"/>
  <c r="AD35" i="8"/>
  <c r="AC35" i="8"/>
  <c r="X7" i="4"/>
  <c r="H7" i="3"/>
  <c r="BE49" i="8"/>
  <c r="BE6" i="8"/>
  <c r="R6" i="3"/>
  <c r="X8" i="3"/>
  <c r="AB36" i="8"/>
  <c r="AC36" i="8"/>
  <c r="AD36" i="8"/>
  <c r="S7" i="4"/>
  <c r="BE39" i="8"/>
  <c r="Q7" i="3"/>
  <c r="BE26" i="8"/>
  <c r="BE50" i="8"/>
  <c r="BE31" i="8"/>
  <c r="BE41" i="8"/>
  <c r="BE44" i="8"/>
  <c r="AD48" i="8"/>
  <c r="AB48" i="8"/>
  <c r="AC48" i="8"/>
  <c r="AD33" i="8"/>
  <c r="AB33" i="8"/>
  <c r="AC33" i="8"/>
  <c r="M8" i="3"/>
  <c r="R7" i="3"/>
  <c r="K7" i="4"/>
  <c r="H7" i="4"/>
  <c r="I8" i="3"/>
  <c r="D6" i="3"/>
  <c r="AD3" i="8"/>
  <c r="J6" i="4"/>
  <c r="AC53" i="8"/>
  <c r="AD53" i="8"/>
  <c r="AB53" i="8"/>
  <c r="N6" i="3"/>
  <c r="AB31" i="8"/>
  <c r="AD31" i="8"/>
  <c r="AC31" i="8"/>
  <c r="P7" i="3"/>
  <c r="S6" i="3"/>
  <c r="F7" i="3"/>
  <c r="S10" i="3"/>
  <c r="T2" i="3" s="1"/>
  <c r="X2" i="3" s="1"/>
  <c r="BE33" i="8"/>
  <c r="BE17" i="8"/>
  <c r="AB15" i="8"/>
  <c r="AC15" i="8"/>
  <c r="AD15" i="8"/>
  <c r="BE9" i="8"/>
  <c r="AD39" i="8"/>
  <c r="AC39" i="8"/>
  <c r="AB39" i="8"/>
  <c r="E7" i="3"/>
  <c r="U7" i="4"/>
  <c r="E7" i="4"/>
  <c r="B7" i="3"/>
  <c r="BE22" i="8"/>
  <c r="BE24" i="8"/>
  <c r="AB47" i="8"/>
  <c r="AD47" i="8"/>
  <c r="AC47" i="8"/>
  <c r="I6" i="3"/>
  <c r="AB51" i="8"/>
  <c r="AD51" i="8"/>
  <c r="AC51" i="8"/>
  <c r="W6" i="3"/>
  <c r="AB38" i="8"/>
  <c r="AC38" i="8"/>
  <c r="AD38" i="8"/>
  <c r="G65" i="5"/>
  <c r="G5" i="5"/>
  <c r="BD23" i="8"/>
  <c r="BE23" i="8" s="1"/>
  <c r="Z12" i="36"/>
  <c r="M11" i="36"/>
  <c r="L35" i="34"/>
  <c r="M35" i="34"/>
  <c r="D18" i="34"/>
  <c r="K18" i="34" s="1"/>
  <c r="L13" i="34"/>
  <c r="M13" i="34"/>
  <c r="M26" i="34"/>
  <c r="L26" i="34"/>
  <c r="K51" i="34"/>
  <c r="D8" i="34"/>
  <c r="K8" i="34" s="1"/>
  <c r="F7" i="36"/>
  <c r="L42" i="34"/>
  <c r="M42" i="34"/>
  <c r="M28" i="34"/>
  <c r="L28" i="34"/>
  <c r="G73" i="5"/>
  <c r="Q12" i="36"/>
  <c r="BD14" i="8"/>
  <c r="BE14" i="8" s="1"/>
  <c r="G34" i="5"/>
  <c r="BE47" i="8"/>
  <c r="L10" i="34"/>
  <c r="AB46" i="8"/>
  <c r="G91" i="5"/>
  <c r="AT12" i="36"/>
  <c r="BD43" i="8"/>
  <c r="BE43" i="8" s="1"/>
  <c r="G39" i="5"/>
  <c r="L17" i="34"/>
  <c r="F12" i="36"/>
  <c r="G98" i="5"/>
  <c r="BD3" i="8"/>
  <c r="BE3" i="8" s="1"/>
  <c r="G47" i="5"/>
  <c r="H57" i="34"/>
  <c r="AZ11" i="36"/>
  <c r="AZ12" i="36"/>
  <c r="L33" i="34"/>
  <c r="M33" i="34"/>
  <c r="S11" i="36"/>
  <c r="D16" i="34"/>
  <c r="K16" i="34" s="1"/>
  <c r="M5" i="34"/>
  <c r="L5" i="34"/>
  <c r="L27" i="34"/>
  <c r="M27" i="34"/>
  <c r="L37" i="34"/>
  <c r="M37" i="34"/>
  <c r="M7" i="34"/>
  <c r="G16" i="5"/>
  <c r="BD25" i="8"/>
  <c r="BE25" i="8" s="1"/>
  <c r="G86" i="5"/>
  <c r="K15" i="34"/>
  <c r="M24" i="34"/>
  <c r="L24" i="34"/>
  <c r="BD7" i="8"/>
  <c r="BE7" i="8" s="1"/>
  <c r="J12" i="36"/>
  <c r="G15" i="5"/>
  <c r="AK11" i="36"/>
  <c r="C64" i="5"/>
  <c r="C31" i="5"/>
  <c r="C68" i="5"/>
  <c r="AA24" i="8"/>
  <c r="AD24" i="8" s="1"/>
  <c r="AA11" i="36"/>
  <c r="C30" i="5"/>
  <c r="F8" i="36"/>
  <c r="G71" i="5"/>
  <c r="BD28" i="8"/>
  <c r="BE28" i="8" s="1"/>
  <c r="AE12" i="36"/>
  <c r="G23" i="5"/>
  <c r="AX12" i="36"/>
  <c r="AA19" i="8"/>
  <c r="AC19" i="8" s="1"/>
  <c r="C99" i="5"/>
  <c r="V11" i="36"/>
  <c r="G8" i="5"/>
  <c r="AF12" i="36"/>
  <c r="G25" i="5"/>
  <c r="G107" i="5"/>
  <c r="BD29" i="8"/>
  <c r="BE29" i="8" s="1"/>
  <c r="AA52" i="8"/>
  <c r="AC52" i="8" s="1"/>
  <c r="C67" i="5"/>
  <c r="K29" i="34"/>
  <c r="AC11" i="36"/>
  <c r="C46" i="5"/>
  <c r="C80" i="5"/>
  <c r="K20" i="34"/>
  <c r="M48" i="34"/>
  <c r="K39" i="34"/>
  <c r="AA21" i="8"/>
  <c r="AB21" i="8" s="1"/>
  <c r="X11" i="36"/>
  <c r="C14" i="5"/>
  <c r="F9" i="36"/>
  <c r="I12" i="36"/>
  <c r="I6" i="34"/>
  <c r="K6" i="34" s="1"/>
  <c r="D50" i="34"/>
  <c r="K50" i="34" s="1"/>
  <c r="AR12" i="36"/>
  <c r="I41" i="34"/>
  <c r="K41" i="34" s="1"/>
  <c r="AJ11" i="36"/>
  <c r="C71" i="5"/>
  <c r="C8" i="5"/>
  <c r="K14" i="34"/>
  <c r="C79" i="5"/>
  <c r="K11" i="36"/>
  <c r="M32" i="34"/>
  <c r="L19" i="34"/>
  <c r="M19" i="34"/>
  <c r="K52" i="34"/>
  <c r="M38" i="34"/>
  <c r="L38" i="34"/>
  <c r="G62" i="5"/>
  <c r="G3" i="5"/>
  <c r="BD11" i="8"/>
  <c r="BE11" i="8" s="1"/>
  <c r="N12" i="36"/>
  <c r="X12" i="36"/>
  <c r="BD21" i="8"/>
  <c r="BE21" i="8" s="1"/>
  <c r="AG11" i="36"/>
  <c r="C40" i="5"/>
  <c r="M45" i="34"/>
  <c r="G11" i="36"/>
  <c r="K46" i="34"/>
  <c r="C63" i="5"/>
  <c r="G81" i="5"/>
  <c r="AA18" i="8"/>
  <c r="AC18" i="8" s="1"/>
  <c r="C11" i="5"/>
  <c r="D40" i="34"/>
  <c r="K40" i="34" s="1"/>
  <c r="Q11" i="36"/>
  <c r="BA12" i="36"/>
  <c r="C93" i="5"/>
  <c r="AA11" i="8"/>
  <c r="AC11" i="8" s="1"/>
  <c r="C27" i="5"/>
  <c r="G35" i="5"/>
  <c r="AA12" i="36"/>
  <c r="G63" i="5"/>
  <c r="BD36" i="8"/>
  <c r="BE36" i="8" s="1"/>
  <c r="D25" i="34"/>
  <c r="K25" i="34" s="1"/>
  <c r="C70" i="5"/>
  <c r="BD20" i="8"/>
  <c r="BE20" i="8" s="1"/>
  <c r="AA3" i="8"/>
  <c r="AB3" i="8" s="1"/>
  <c r="F10" i="36"/>
  <c r="AS11" i="36"/>
  <c r="BD34" i="8"/>
  <c r="BE34" i="8" s="1"/>
  <c r="C42" i="5"/>
  <c r="BD42" i="8"/>
  <c r="BE42" i="8" s="1"/>
  <c r="W12" i="36"/>
  <c r="Y11" i="36"/>
  <c r="C87" i="5"/>
  <c r="AA20" i="8"/>
  <c r="AB20" i="8" s="1"/>
  <c r="I9" i="34"/>
  <c r="K9" i="34" s="1"/>
  <c r="D30" i="34"/>
  <c r="K30" i="34" s="1"/>
  <c r="AU11" i="36"/>
  <c r="C104" i="5"/>
  <c r="Z11" i="36"/>
  <c r="AA6" i="8"/>
  <c r="AD6" i="8" s="1"/>
  <c r="U11" i="36"/>
  <c r="D36" i="34"/>
  <c r="K36" i="34" s="1"/>
  <c r="G68" i="5"/>
  <c r="D49" i="34"/>
  <c r="K49" i="34" s="1"/>
  <c r="D3" i="34"/>
  <c r="K3" i="34" s="1"/>
  <c r="AW11" i="36"/>
  <c r="G42" i="5"/>
  <c r="G30" i="5"/>
  <c r="D53" i="34"/>
  <c r="AA54" i="8" s="1"/>
  <c r="Y7" i="3" s="1"/>
  <c r="D21" i="34"/>
  <c r="K21" i="34" s="1"/>
  <c r="AY11" i="36"/>
  <c r="D23" i="34"/>
  <c r="K23" i="34" s="1"/>
  <c r="D12" i="34"/>
  <c r="K12" i="34" s="1"/>
  <c r="AC42" i="8"/>
  <c r="AD42" i="8"/>
  <c r="AB28" i="8"/>
  <c r="AC28" i="8"/>
  <c r="AD28" i="8"/>
  <c r="D43" i="5"/>
  <c r="H23" i="5"/>
  <c r="H22" i="5"/>
  <c r="H8" i="5"/>
  <c r="H18" i="5"/>
  <c r="H49" i="5"/>
  <c r="H21" i="5"/>
  <c r="H16" i="5"/>
  <c r="H37" i="5"/>
  <c r="D51" i="5"/>
  <c r="H20" i="5"/>
  <c r="D24" i="5"/>
  <c r="D4" i="5"/>
  <c r="D37" i="5"/>
  <c r="D30" i="5"/>
  <c r="D26" i="5"/>
  <c r="H17" i="5"/>
  <c r="D20" i="5"/>
  <c r="D29" i="5"/>
  <c r="H39" i="5"/>
  <c r="D49" i="5"/>
  <c r="H19" i="5"/>
  <c r="H10" i="5"/>
  <c r="D15" i="5"/>
  <c r="D21" i="5"/>
  <c r="P4" i="34"/>
  <c r="D7" i="5"/>
  <c r="H41" i="5"/>
  <c r="P26" i="34"/>
  <c r="H29" i="5"/>
  <c r="H51" i="5"/>
  <c r="P18" i="34"/>
  <c r="H12" i="5"/>
  <c r="H24" i="5"/>
  <c r="D13" i="5"/>
  <c r="D25" i="5"/>
  <c r="H28" i="5"/>
  <c r="H26" i="5"/>
  <c r="H5" i="5"/>
  <c r="H44" i="5"/>
  <c r="P50" i="34"/>
  <c r="H9" i="5"/>
  <c r="H48" i="5"/>
  <c r="H46" i="5"/>
  <c r="D50" i="5"/>
  <c r="D16" i="5"/>
  <c r="P27" i="34"/>
  <c r="H27" i="5"/>
  <c r="D3" i="5"/>
  <c r="D38" i="5"/>
  <c r="P48" i="34"/>
  <c r="P6" i="34"/>
  <c r="H52" i="5"/>
  <c r="H32" i="5"/>
  <c r="D48" i="5"/>
  <c r="H14" i="5"/>
  <c r="D42" i="5"/>
  <c r="D12" i="5"/>
  <c r="D41" i="5"/>
  <c r="H35" i="5"/>
  <c r="D11" i="5"/>
  <c r="H40" i="5"/>
  <c r="D45" i="5"/>
  <c r="H7" i="5"/>
  <c r="H50" i="5"/>
  <c r="D5" i="5"/>
  <c r="D36" i="5"/>
  <c r="H36" i="5"/>
  <c r="D44" i="5"/>
  <c r="H15" i="5"/>
  <c r="D22" i="5"/>
  <c r="D33" i="5"/>
  <c r="H4" i="5"/>
  <c r="H38" i="5"/>
  <c r="H11" i="5"/>
  <c r="D28" i="5"/>
  <c r="D34" i="5"/>
  <c r="D9" i="5"/>
  <c r="H45" i="5"/>
  <c r="D17" i="5"/>
  <c r="H6" i="5"/>
  <c r="D27" i="5"/>
  <c r="D52" i="5"/>
  <c r="D10" i="5"/>
  <c r="D19" i="5"/>
  <c r="H43" i="5"/>
  <c r="H33" i="5"/>
  <c r="D47" i="5"/>
  <c r="H13" i="5"/>
  <c r="D6" i="5"/>
  <c r="D23" i="5"/>
  <c r="D32" i="5"/>
  <c r="H31" i="5"/>
  <c r="D35" i="5"/>
  <c r="D18" i="5"/>
  <c r="D39" i="5"/>
  <c r="H25" i="5"/>
  <c r="D14" i="5"/>
  <c r="H30" i="5"/>
  <c r="D40" i="5"/>
  <c r="H42" i="5"/>
  <c r="H101" i="5" l="1"/>
  <c r="AB19" i="8"/>
  <c r="AB24" i="8"/>
  <c r="AC24" i="8"/>
  <c r="D87" i="5"/>
  <c r="D97" i="5"/>
  <c r="L11" i="34"/>
  <c r="M11" i="34"/>
  <c r="H68" i="5"/>
  <c r="L43" i="34"/>
  <c r="M43" i="34"/>
  <c r="M47" i="34"/>
  <c r="L47" i="34"/>
  <c r="M4" i="34"/>
  <c r="L4" i="34"/>
  <c r="L31" i="34"/>
  <c r="M31" i="34"/>
  <c r="O3" i="4"/>
  <c r="P53" i="34"/>
  <c r="I64" i="5"/>
  <c r="BF34" i="8"/>
  <c r="I31" i="5"/>
  <c r="I3" i="5"/>
  <c r="I62" i="5"/>
  <c r="BF11" i="8"/>
  <c r="BF7" i="8"/>
  <c r="I85" i="5"/>
  <c r="I15" i="5"/>
  <c r="I108" i="5"/>
  <c r="BF20" i="8"/>
  <c r="I42" i="5"/>
  <c r="I25" i="5"/>
  <c r="BF29" i="8"/>
  <c r="I107" i="5"/>
  <c r="M9" i="34"/>
  <c r="L9" i="34"/>
  <c r="BF14" i="8"/>
  <c r="I34" i="5"/>
  <c r="I73" i="5"/>
  <c r="I39" i="5"/>
  <c r="BF43" i="8"/>
  <c r="I91" i="5"/>
  <c r="E90" i="5"/>
  <c r="E18" i="5"/>
  <c r="M41" i="34"/>
  <c r="L41" i="34"/>
  <c r="I8" i="5"/>
  <c r="BF28" i="8"/>
  <c r="I71" i="5"/>
  <c r="BF25" i="8"/>
  <c r="I16" i="5"/>
  <c r="I86" i="5"/>
  <c r="I24" i="5"/>
  <c r="I105" i="5"/>
  <c r="BF36" i="8"/>
  <c r="I98" i="5"/>
  <c r="I47" i="5"/>
  <c r="BF3" i="8"/>
  <c r="I44" i="5"/>
  <c r="I78" i="5"/>
  <c r="BF42" i="8"/>
  <c r="I14" i="5"/>
  <c r="BF21" i="8"/>
  <c r="I84" i="5"/>
  <c r="I5" i="5"/>
  <c r="I65" i="5"/>
  <c r="BF23" i="8"/>
  <c r="D68" i="5"/>
  <c r="H91" i="5"/>
  <c r="BF22" i="8"/>
  <c r="I104" i="5"/>
  <c r="I51" i="5"/>
  <c r="AD18" i="8"/>
  <c r="I89" i="5"/>
  <c r="BF39" i="8"/>
  <c r="I38" i="5"/>
  <c r="E13" i="5"/>
  <c r="E81" i="5"/>
  <c r="I33" i="5"/>
  <c r="BF52" i="8"/>
  <c r="I67" i="5"/>
  <c r="E107" i="5"/>
  <c r="E25" i="5"/>
  <c r="E102" i="5"/>
  <c r="E50" i="5"/>
  <c r="AD20" i="8"/>
  <c r="D79" i="5"/>
  <c r="H98" i="5"/>
  <c r="L8" i="34"/>
  <c r="M8" i="34"/>
  <c r="AB18" i="8"/>
  <c r="AD11" i="8"/>
  <c r="E37" i="5"/>
  <c r="E87" i="5"/>
  <c r="I103" i="5"/>
  <c r="I41" i="5"/>
  <c r="BF38" i="8"/>
  <c r="I11" i="5"/>
  <c r="BF4" i="8"/>
  <c r="X3" i="4" s="1"/>
  <c r="I76" i="5"/>
  <c r="E5" i="5"/>
  <c r="E65" i="5"/>
  <c r="AC20" i="8"/>
  <c r="AB11" i="8"/>
  <c r="E24" i="5"/>
  <c r="E105" i="5"/>
  <c r="E93" i="5"/>
  <c r="E20" i="5"/>
  <c r="E19" i="5"/>
  <c r="E92" i="5"/>
  <c r="I43" i="5"/>
  <c r="I74" i="5"/>
  <c r="BF27" i="8"/>
  <c r="BF19" i="8"/>
  <c r="I99" i="5"/>
  <c r="I48" i="5"/>
  <c r="D92" i="5"/>
  <c r="H65" i="5"/>
  <c r="D99" i="5"/>
  <c r="I101" i="5"/>
  <c r="I23" i="5"/>
  <c r="BF47" i="8"/>
  <c r="L51" i="34"/>
  <c r="M51" i="34"/>
  <c r="H78" i="5"/>
  <c r="E46" i="5"/>
  <c r="E80" i="5"/>
  <c r="I88" i="5"/>
  <c r="BF12" i="8"/>
  <c r="I17" i="5"/>
  <c r="E15" i="5"/>
  <c r="E85" i="5"/>
  <c r="E29" i="5"/>
  <c r="E97" i="5"/>
  <c r="M12" i="34"/>
  <c r="L12" i="34"/>
  <c r="M40" i="34"/>
  <c r="L40" i="34"/>
  <c r="D71" i="5"/>
  <c r="L20" i="34"/>
  <c r="M20" i="34"/>
  <c r="D78" i="5"/>
  <c r="E52" i="5"/>
  <c r="E106" i="5"/>
  <c r="AC3" i="8"/>
  <c r="E72" i="5"/>
  <c r="E9" i="5"/>
  <c r="E39" i="5"/>
  <c r="E91" i="5"/>
  <c r="E35" i="5"/>
  <c r="E82" i="5"/>
  <c r="E69" i="5"/>
  <c r="E6" i="5"/>
  <c r="E95" i="5"/>
  <c r="E40" i="5"/>
  <c r="L39" i="34"/>
  <c r="M39" i="34"/>
  <c r="D64" i="5"/>
  <c r="M23" i="34"/>
  <c r="L23" i="34"/>
  <c r="D104" i="5"/>
  <c r="D80" i="5"/>
  <c r="H84" i="5"/>
  <c r="H110" i="5"/>
  <c r="I20" i="5"/>
  <c r="BF44" i="8"/>
  <c r="I93" i="5"/>
  <c r="E49" i="5"/>
  <c r="E100" i="5"/>
  <c r="E17" i="5"/>
  <c r="E88" i="5"/>
  <c r="E66" i="5"/>
  <c r="E32" i="5"/>
  <c r="I26" i="5"/>
  <c r="I109" i="5"/>
  <c r="BF5" i="8"/>
  <c r="D93" i="5"/>
  <c r="M16" i="34"/>
  <c r="L16" i="34"/>
  <c r="E47" i="5"/>
  <c r="E98" i="5"/>
  <c r="BF41" i="8"/>
  <c r="I10" i="5"/>
  <c r="I75" i="5"/>
  <c r="I79" i="5"/>
  <c r="BF8" i="8"/>
  <c r="I45" i="5"/>
  <c r="E51" i="5"/>
  <c r="E104" i="5"/>
  <c r="I97" i="5"/>
  <c r="BF45" i="8"/>
  <c r="I29" i="5"/>
  <c r="E79" i="5"/>
  <c r="E45" i="5"/>
  <c r="E28" i="5"/>
  <c r="E111" i="5"/>
  <c r="E26" i="5"/>
  <c r="E109" i="5"/>
  <c r="M36" i="34"/>
  <c r="L36" i="34"/>
  <c r="L14" i="34"/>
  <c r="M14" i="34"/>
  <c r="L21" i="34"/>
  <c r="M21" i="34"/>
  <c r="E41" i="5"/>
  <c r="E103" i="5"/>
  <c r="E38" i="5"/>
  <c r="E89" i="5"/>
  <c r="BF18" i="8"/>
  <c r="I7" i="5"/>
  <c r="I70" i="5"/>
  <c r="L30" i="34"/>
  <c r="M30" i="34"/>
  <c r="M25" i="34"/>
  <c r="L25" i="34"/>
  <c r="D73" i="5"/>
  <c r="D85" i="5"/>
  <c r="D72" i="5"/>
  <c r="D76" i="5"/>
  <c r="D110" i="5"/>
  <c r="D88" i="5"/>
  <c r="D95" i="5"/>
  <c r="D63" i="5"/>
  <c r="D111" i="5"/>
  <c r="D75" i="5"/>
  <c r="D69" i="5"/>
  <c r="D109" i="5"/>
  <c r="D74" i="5"/>
  <c r="D81" i="5"/>
  <c r="D98" i="5"/>
  <c r="D82" i="5"/>
  <c r="D90" i="5"/>
  <c r="D101" i="5"/>
  <c r="D107" i="5"/>
  <c r="D66" i="5"/>
  <c r="D105" i="5"/>
  <c r="D108" i="5"/>
  <c r="D65" i="5"/>
  <c r="D86" i="5"/>
  <c r="D96" i="5"/>
  <c r="D83" i="5"/>
  <c r="D89" i="5"/>
  <c r="D100" i="5"/>
  <c r="D103" i="5"/>
  <c r="D91" i="5"/>
  <c r="D62" i="5"/>
  <c r="D84" i="5"/>
  <c r="D106" i="5"/>
  <c r="D102" i="5"/>
  <c r="D94" i="5"/>
  <c r="D77" i="5"/>
  <c r="M29" i="34"/>
  <c r="L29" i="34"/>
  <c r="E101" i="5"/>
  <c r="E23" i="5"/>
  <c r="I19" i="5"/>
  <c r="I92" i="5"/>
  <c r="BF9" i="8"/>
  <c r="E12" i="5"/>
  <c r="E77" i="5"/>
  <c r="AC6" i="8"/>
  <c r="H96" i="5"/>
  <c r="H70" i="5"/>
  <c r="H99" i="5"/>
  <c r="H97" i="5"/>
  <c r="H88" i="5"/>
  <c r="H90" i="5"/>
  <c r="H75" i="5"/>
  <c r="H76" i="5"/>
  <c r="H67" i="5"/>
  <c r="H102" i="5"/>
  <c r="H69" i="5"/>
  <c r="H104" i="5"/>
  <c r="H62" i="5"/>
  <c r="H103" i="5"/>
  <c r="H74" i="5"/>
  <c r="H108" i="5"/>
  <c r="H92" i="5"/>
  <c r="H93" i="5"/>
  <c r="H79" i="5"/>
  <c r="H100" i="5"/>
  <c r="H85" i="5"/>
  <c r="H111" i="5"/>
  <c r="H89" i="5"/>
  <c r="H82" i="5"/>
  <c r="H83" i="5"/>
  <c r="H106" i="5"/>
  <c r="H109" i="5"/>
  <c r="H66" i="5"/>
  <c r="H105" i="5"/>
  <c r="H77" i="5"/>
  <c r="H87" i="5"/>
  <c r="H72" i="5"/>
  <c r="H95" i="5"/>
  <c r="H80" i="5"/>
  <c r="H94" i="5"/>
  <c r="H64" i="5"/>
  <c r="D70" i="5"/>
  <c r="BF31" i="8"/>
  <c r="I77" i="5"/>
  <c r="I12" i="5"/>
  <c r="L46" i="34"/>
  <c r="M46" i="34"/>
  <c r="M50" i="34"/>
  <c r="L50" i="34"/>
  <c r="H71" i="5"/>
  <c r="H73" i="5"/>
  <c r="L18" i="34"/>
  <c r="M18" i="34"/>
  <c r="E96" i="5"/>
  <c r="E22" i="5"/>
  <c r="AB6" i="8"/>
  <c r="BF6" i="8"/>
  <c r="I90" i="5"/>
  <c r="I18" i="5"/>
  <c r="I111" i="5"/>
  <c r="BF10" i="8"/>
  <c r="I28" i="5"/>
  <c r="I100" i="5"/>
  <c r="I49" i="5"/>
  <c r="BF13" i="8"/>
  <c r="E21" i="5"/>
  <c r="E94" i="5"/>
  <c r="E4" i="5"/>
  <c r="E63" i="5"/>
  <c r="AB52" i="8"/>
  <c r="I40" i="5"/>
  <c r="BF30" i="8"/>
  <c r="I95" i="5"/>
  <c r="E27" i="5"/>
  <c r="E110" i="5"/>
  <c r="H81" i="5"/>
  <c r="D67" i="5"/>
  <c r="M15" i="34"/>
  <c r="L15" i="34"/>
  <c r="H63" i="5"/>
  <c r="L52" i="34"/>
  <c r="M52" i="34"/>
  <c r="M6" i="34"/>
  <c r="L6" i="34"/>
  <c r="H86" i="5"/>
  <c r="BF24" i="8"/>
  <c r="I30" i="5"/>
  <c r="I68" i="5"/>
  <c r="I21" i="5"/>
  <c r="BF49" i="8"/>
  <c r="I94" i="5"/>
  <c r="BF51" i="8"/>
  <c r="I52" i="5"/>
  <c r="I106" i="5"/>
  <c r="I32" i="5"/>
  <c r="BF32" i="8"/>
  <c r="I66" i="5"/>
  <c r="I35" i="5"/>
  <c r="I82" i="5"/>
  <c r="BF16" i="8"/>
  <c r="E64" i="5"/>
  <c r="E31" i="5"/>
  <c r="BF40" i="8"/>
  <c r="I69" i="5"/>
  <c r="I6" i="5"/>
  <c r="E83" i="5"/>
  <c r="E36" i="5"/>
  <c r="AD52" i="8"/>
  <c r="AD21" i="8"/>
  <c r="I4" i="5"/>
  <c r="I63" i="5"/>
  <c r="BF50" i="8"/>
  <c r="I102" i="5"/>
  <c r="BF37" i="8"/>
  <c r="I50" i="5"/>
  <c r="E11" i="5"/>
  <c r="E76" i="5"/>
  <c r="E30" i="5"/>
  <c r="E68" i="5"/>
  <c r="E75" i="5"/>
  <c r="E10" i="5"/>
  <c r="E43" i="5"/>
  <c r="E74" i="5"/>
  <c r="M3" i="34"/>
  <c r="L3" i="34"/>
  <c r="H107" i="5"/>
  <c r="I81" i="5"/>
  <c r="I13" i="5"/>
  <c r="BF35" i="8"/>
  <c r="E73" i="5"/>
  <c r="E34" i="5"/>
  <c r="AD19" i="8"/>
  <c r="AC21" i="8"/>
  <c r="BF17" i="8"/>
  <c r="I83" i="5"/>
  <c r="I36" i="5"/>
  <c r="I46" i="5"/>
  <c r="BF26" i="8"/>
  <c r="I80" i="5"/>
  <c r="L49" i="34"/>
  <c r="M49" i="34"/>
  <c r="BF33" i="8"/>
  <c r="I37" i="5"/>
  <c r="I87" i="5"/>
  <c r="I9" i="5"/>
  <c r="I72" i="5"/>
  <c r="BF48" i="8"/>
  <c r="BF46" i="8"/>
  <c r="I27" i="5"/>
  <c r="I110" i="5"/>
  <c r="BF15" i="8"/>
  <c r="I96" i="5"/>
  <c r="I22" i="5"/>
  <c r="E16" i="5"/>
  <c r="E86" i="5"/>
  <c r="E8" i="5"/>
  <c r="E71" i="5"/>
  <c r="E44" i="5"/>
  <c r="E78" i="5"/>
  <c r="J48" i="5"/>
  <c r="J45" i="5"/>
  <c r="J21" i="5"/>
  <c r="H34" i="5"/>
  <c r="J24" i="5"/>
  <c r="J29" i="5"/>
  <c r="J5" i="5"/>
  <c r="J23" i="5"/>
  <c r="J34" i="5"/>
  <c r="J17" i="5"/>
  <c r="H3" i="5"/>
  <c r="J3" i="5"/>
  <c r="J16" i="5"/>
  <c r="J14" i="5"/>
  <c r="J37" i="5"/>
  <c r="J10" i="5"/>
  <c r="J31" i="5"/>
  <c r="J18" i="5"/>
  <c r="J47" i="5"/>
  <c r="D46" i="5"/>
  <c r="J12" i="5"/>
  <c r="J39" i="5"/>
  <c r="J8" i="5"/>
  <c r="J4" i="5"/>
  <c r="J33" i="5"/>
  <c r="J25" i="5"/>
  <c r="H47" i="5"/>
  <c r="J44" i="5"/>
  <c r="J52" i="5"/>
  <c r="J51" i="5"/>
  <c r="J9" i="5"/>
  <c r="J20" i="5"/>
  <c r="J38" i="5"/>
  <c r="D31" i="5"/>
  <c r="J22" i="5"/>
  <c r="J26" i="5"/>
  <c r="J46" i="5"/>
  <c r="J30" i="5"/>
  <c r="J42" i="5"/>
  <c r="J35" i="5"/>
  <c r="J50" i="5"/>
  <c r="F30" i="5"/>
  <c r="D8" i="5"/>
  <c r="J32" i="5"/>
  <c r="J6" i="5"/>
  <c r="J11" i="5"/>
  <c r="J36" i="5"/>
  <c r="J19" i="5"/>
  <c r="J49" i="5"/>
  <c r="J7" i="5"/>
  <c r="J28" i="5"/>
  <c r="J13" i="5"/>
  <c r="J40" i="5"/>
  <c r="J41" i="5"/>
  <c r="F29" i="5"/>
  <c r="J15" i="5"/>
  <c r="J43" i="5"/>
  <c r="J27" i="5"/>
  <c r="AE5" i="8" l="1"/>
  <c r="AE44" i="8"/>
  <c r="AE13" i="8"/>
  <c r="AE8" i="8"/>
  <c r="J72" i="5"/>
  <c r="AE33" i="8"/>
  <c r="J93" i="5"/>
  <c r="J108" i="5"/>
  <c r="AE38" i="8"/>
  <c r="AE31" i="8"/>
  <c r="AE9" i="8"/>
  <c r="AE28" i="8"/>
  <c r="J76" i="5"/>
  <c r="E70" i="5"/>
  <c r="E7" i="5"/>
  <c r="E108" i="5"/>
  <c r="E42" i="5"/>
  <c r="AE11" i="8"/>
  <c r="AE3" i="8"/>
  <c r="J98" i="5"/>
  <c r="J91" i="5"/>
  <c r="AE27" i="8"/>
  <c r="AE19" i="8"/>
  <c r="AE10" i="8"/>
  <c r="AE20" i="8"/>
  <c r="J68" i="5"/>
  <c r="J85" i="5"/>
  <c r="AE6" i="8"/>
  <c r="AE24" i="8"/>
  <c r="J111" i="5"/>
  <c r="J103" i="5"/>
  <c r="J105" i="5"/>
  <c r="J74" i="5"/>
  <c r="AE46" i="8"/>
  <c r="J94" i="5"/>
  <c r="J104" i="5"/>
  <c r="J87" i="5"/>
  <c r="J95" i="5"/>
  <c r="J67" i="5"/>
  <c r="AE41" i="8"/>
  <c r="AE7" i="8"/>
  <c r="J81" i="5"/>
  <c r="J102" i="5"/>
  <c r="J90" i="5"/>
  <c r="J77" i="5"/>
  <c r="J109" i="5"/>
  <c r="J101" i="5"/>
  <c r="J65" i="5"/>
  <c r="J86" i="5"/>
  <c r="J62" i="5"/>
  <c r="AE23" i="8"/>
  <c r="AE22" i="8"/>
  <c r="AE34" i="8"/>
  <c r="AE30" i="8"/>
  <c r="AE25" i="8"/>
  <c r="AE15" i="8"/>
  <c r="AE29" i="8"/>
  <c r="J97" i="5"/>
  <c r="J73" i="5"/>
  <c r="AE4" i="8"/>
  <c r="X2" i="4" s="1"/>
  <c r="J82" i="5"/>
  <c r="AE42" i="8"/>
  <c r="AE37" i="8"/>
  <c r="AE47" i="8"/>
  <c r="J92" i="5"/>
  <c r="E62" i="5"/>
  <c r="E3" i="5"/>
  <c r="E48" i="5"/>
  <c r="E99" i="5"/>
  <c r="AE12" i="8"/>
  <c r="AE40" i="8"/>
  <c r="AE49" i="8"/>
  <c r="J96" i="5"/>
  <c r="J80" i="5"/>
  <c r="J63" i="5"/>
  <c r="J66" i="5"/>
  <c r="J84" i="5"/>
  <c r="AE32" i="8"/>
  <c r="J71" i="5"/>
  <c r="J100" i="5"/>
  <c r="AE52" i="8"/>
  <c r="J79" i="5"/>
  <c r="J64" i="5"/>
  <c r="J69" i="5"/>
  <c r="AE51" i="8"/>
  <c r="AE35" i="8"/>
  <c r="AE14" i="8"/>
  <c r="J106" i="5"/>
  <c r="J75" i="5"/>
  <c r="AE36" i="8"/>
  <c r="AE16" i="8"/>
  <c r="AE18" i="8"/>
  <c r="AE48" i="8"/>
  <c r="AE50" i="8"/>
  <c r="J110" i="5"/>
  <c r="E84" i="5"/>
  <c r="E14" i="5"/>
  <c r="J107" i="5"/>
  <c r="AE43" i="8"/>
  <c r="AE21" i="8"/>
  <c r="E33" i="5"/>
  <c r="E67" i="5"/>
  <c r="J70" i="5"/>
  <c r="AE26" i="8"/>
  <c r="AE45" i="8"/>
  <c r="AE39" i="8"/>
  <c r="AE17" i="8"/>
  <c r="J83" i="5"/>
  <c r="J88" i="5"/>
  <c r="J99" i="5"/>
  <c r="J89" i="5"/>
  <c r="J78" i="5"/>
  <c r="F11" i="5"/>
  <c r="F34" i="5"/>
  <c r="F42" i="5"/>
  <c r="F15" i="5"/>
  <c r="F38" i="5"/>
  <c r="F52" i="5"/>
  <c r="F25" i="5"/>
  <c r="F36" i="5"/>
  <c r="F46" i="5"/>
  <c r="F18" i="5"/>
  <c r="F10" i="5"/>
  <c r="F39" i="5"/>
  <c r="F5" i="5"/>
  <c r="F21" i="5"/>
  <c r="F16" i="5"/>
  <c r="F7" i="5"/>
  <c r="F51" i="5"/>
  <c r="F9" i="5"/>
  <c r="F19" i="5"/>
  <c r="F23" i="5"/>
  <c r="F26" i="5"/>
  <c r="F44" i="5"/>
  <c r="F13" i="5"/>
  <c r="F8" i="5"/>
  <c r="F28" i="5"/>
  <c r="F50" i="5"/>
  <c r="F49" i="5"/>
  <c r="F37" i="5"/>
  <c r="F6" i="5"/>
  <c r="F40" i="5"/>
  <c r="F12" i="5"/>
  <c r="F35" i="5"/>
  <c r="F47" i="5"/>
  <c r="F31" i="5"/>
  <c r="F24" i="5"/>
  <c r="F22" i="5"/>
  <c r="F4" i="5"/>
  <c r="F41" i="5"/>
  <c r="F43" i="5"/>
  <c r="F17" i="5"/>
  <c r="F45" i="5"/>
  <c r="F20" i="5"/>
  <c r="F32" i="5"/>
  <c r="F27" i="5"/>
  <c r="F3" i="5"/>
  <c r="F48" i="5"/>
  <c r="F14" i="5"/>
  <c r="F77" i="5" l="1"/>
  <c r="F75" i="5"/>
  <c r="F84" i="5"/>
  <c r="F91" i="5"/>
  <c r="F79" i="5"/>
  <c r="F106" i="5"/>
  <c r="F65" i="5"/>
  <c r="F95" i="5"/>
  <c r="F99" i="5"/>
  <c r="F82" i="5"/>
  <c r="F102" i="5"/>
  <c r="F63" i="5"/>
  <c r="F73" i="5"/>
  <c r="F81" i="5"/>
  <c r="F97" i="5"/>
  <c r="F93" i="5"/>
  <c r="F78" i="5"/>
  <c r="F74" i="5"/>
  <c r="F87" i="5"/>
  <c r="F105" i="5"/>
  <c r="F66" i="5"/>
  <c r="F70" i="5"/>
  <c r="F69" i="5"/>
  <c r="F72" i="5"/>
  <c r="F92" i="5"/>
  <c r="F76" i="5"/>
  <c r="F109" i="5"/>
  <c r="F110" i="5"/>
  <c r="F89" i="5"/>
  <c r="F62" i="5"/>
  <c r="F67" i="5"/>
  <c r="F98" i="5"/>
  <c r="F107" i="5"/>
  <c r="F68" i="5"/>
  <c r="F64" i="5"/>
  <c r="F96" i="5"/>
  <c r="F104" i="5"/>
  <c r="F71" i="5"/>
  <c r="F94" i="5"/>
  <c r="F108" i="5"/>
  <c r="F83" i="5"/>
  <c r="F88" i="5"/>
  <c r="F86" i="5"/>
  <c r="F101" i="5"/>
  <c r="F100" i="5"/>
  <c r="F90" i="5"/>
  <c r="F85" i="5"/>
  <c r="F103" i="5"/>
  <c r="F80" i="5"/>
  <c r="F111" i="5"/>
  <c r="F3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9B91E1A9-B1F8-43E4-9941-F9C26672B91C}">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B109FE29-A2F9-4D5C-8FCE-F9ED6D0A9C2D}">
      <text>
        <r>
          <rPr>
            <b/>
            <sz val="8"/>
            <color indexed="81"/>
            <rFont val="Tahoma"/>
            <family val="2"/>
          </rPr>
          <t>Total Grants for all years listed in LOCCS</t>
        </r>
        <r>
          <rPr>
            <sz val="8"/>
            <color indexed="81"/>
            <rFont val="Tahoma"/>
            <family val="2"/>
          </rPr>
          <t xml:space="preserve">
</t>
        </r>
      </text>
    </comment>
    <comment ref="C2" authorId="0" shapeId="0" xr:uid="{ABD660FF-825E-42D2-ADF6-A713AF10447C}">
      <text>
        <r>
          <rPr>
            <b/>
            <sz val="8"/>
            <color indexed="81"/>
            <rFont val="Tahoma"/>
            <family val="2"/>
          </rPr>
          <t>Total expenditures for all grant years recorded in LOCCS</t>
        </r>
        <r>
          <rPr>
            <sz val="8"/>
            <color indexed="81"/>
            <rFont val="Tahoma"/>
            <family val="2"/>
          </rPr>
          <t xml:space="preserve">
</t>
        </r>
      </text>
    </comment>
    <comment ref="D2" authorId="0" shapeId="0" xr:uid="{3EE7D91A-1D4D-4FA3-A63D-F5C8B0A9D093}">
      <text>
        <r>
          <rPr>
            <b/>
            <sz val="8"/>
            <color indexed="81"/>
            <rFont val="Tahoma"/>
            <family val="2"/>
          </rPr>
          <t>Column B minus Column C
Calculated from LOCCS data (all grants less all expenditures)</t>
        </r>
      </text>
    </comment>
    <comment ref="E2" authorId="0" shapeId="0" xr:uid="{F57E1842-5000-4102-ADB8-735AD216A1E8}">
      <text>
        <r>
          <rPr>
            <b/>
            <sz val="8"/>
            <color indexed="81"/>
            <rFont val="Tahoma"/>
            <family val="2"/>
          </rPr>
          <t>Total of previous 12 months expenditures recorded in LOCCS</t>
        </r>
      </text>
    </comment>
    <comment ref="F2" authorId="0" shapeId="0" xr:uid="{FB889019-0105-4012-8368-6C8803D87E24}">
      <text>
        <r>
          <rPr>
            <b/>
            <sz val="8"/>
            <color indexed="81"/>
            <rFont val="Tahoma"/>
            <family val="2"/>
          </rPr>
          <t xml:space="preserve">
As shown in LOCCS</t>
        </r>
      </text>
    </comment>
    <comment ref="G2" authorId="0" shapeId="0" xr:uid="{F9B408CC-BC6D-4D5D-9E03-4D07ADD9BA0A}">
      <text>
        <r>
          <rPr>
            <b/>
            <sz val="8"/>
            <color indexed="81"/>
            <rFont val="Tahoma"/>
            <family val="2"/>
          </rPr>
          <t>Column D divided by Column F
Indicates # of years of funds available in terms of latest grant amt.</t>
        </r>
      </text>
    </comment>
    <comment ref="H2" authorId="0" shapeId="0" xr:uid="{A54B7824-EEC9-4E19-AC3E-25EDE037682E}">
      <text>
        <r>
          <rPr>
            <b/>
            <sz val="8"/>
            <color indexed="81"/>
            <rFont val="Tahoma"/>
            <family val="2"/>
          </rPr>
          <t>Column E divided by Column F
This draw-down rate should be 1 or more to avoid increasing balances.</t>
        </r>
      </text>
    </comment>
    <comment ref="I2" authorId="0" shapeId="0" xr:uid="{9B666793-F0A1-4739-BD02-1F6757822FA4}">
      <text>
        <r>
          <rPr>
            <b/>
            <sz val="8"/>
            <color indexed="81"/>
            <rFont val="Tahoma"/>
            <family val="2"/>
          </rPr>
          <t>Column E divided by 12
Indicates average dollar amount spent each of the last 12 months.</t>
        </r>
      </text>
    </comment>
    <comment ref="J2" authorId="0" shapeId="0" xr:uid="{E993114F-91BE-450E-9A21-5E77D2D902E4}">
      <text>
        <r>
          <rPr>
            <b/>
            <sz val="8"/>
            <color indexed="81"/>
            <rFont val="Tahoma"/>
            <family val="2"/>
          </rPr>
          <t>Indicates the number of months remaining until 60 days before end of current Program Year.</t>
        </r>
      </text>
    </comment>
    <comment ref="K2" authorId="0" shapeId="0" xr:uid="{AC7A2DEE-CBA5-474D-9B6A-350AD8379873}">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AD3D41D6-CD5C-410A-A467-5737F926557C}">
      <text>
        <r>
          <rPr>
            <b/>
            <sz val="8"/>
            <color indexed="81"/>
            <rFont val="Tahoma"/>
            <family val="2"/>
          </rPr>
          <t>Monthly expenditure in dollars required to reduce unexpended balance to 2 times most recent grant amount by 60 days prior to end of current Program Year.</t>
        </r>
      </text>
    </comment>
    <comment ref="M2" authorId="0" shapeId="0" xr:uid="{730F259C-B20C-4159-8CB2-0862E44601F4}">
      <text>
        <r>
          <rPr>
            <b/>
            <sz val="8"/>
            <color indexed="81"/>
            <rFont val="Tahoma"/>
            <family val="2"/>
          </rPr>
          <t>Monthly expenditure in dollars required to reduce unexpended balance to 2.5 times most recent grant amount by 60 days prior to end of current Program Year.</t>
        </r>
      </text>
    </comment>
    <comment ref="N2" authorId="0" shapeId="0" xr:uid="{61205FEB-754D-45E7-AD81-B9FED3341A86}">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7CCA966E-1742-482A-B5D3-237EE1A313FC}">
      <text>
        <r>
          <rPr>
            <b/>
            <sz val="8"/>
            <color indexed="81"/>
            <rFont val="Tahoma"/>
            <family val="2"/>
          </rPr>
          <t xml:space="preserve">Starting date for the State's current Program Year
</t>
        </r>
      </text>
    </comment>
    <comment ref="P2" authorId="0" shapeId="0" xr:uid="{41D4675D-6E46-4B31-94E8-176B1F38950F}">
      <text>
        <r>
          <rPr>
            <b/>
            <sz val="8"/>
            <color indexed="81"/>
            <rFont val="Tahoma"/>
            <family val="2"/>
          </rPr>
          <t>Column C minus prior month's Column C
Calculated from LOCCS data (all expenditures less all expenditures thru prior month)</t>
        </r>
      </text>
    </comment>
    <comment ref="Q2" authorId="0" shapeId="0" xr:uid="{25D4E03F-B4B0-4EBE-B8F4-455D12C39F0B}">
      <text>
        <r>
          <rPr>
            <b/>
            <sz val="8"/>
            <color indexed="81"/>
            <rFont val="Tahoma"/>
            <family val="2"/>
          </rPr>
          <t>Month when the most recent grant amount changed in LOCCS.  If change occurred outside range, cell indicates "over 18 months ago".</t>
        </r>
      </text>
    </comment>
    <comment ref="N7" authorId="1" shapeId="0" xr:uid="{B4529185-AF39-4620-BBF4-5E234DD39F1A}">
      <text>
        <r>
          <rPr>
            <sz val="8"/>
            <color indexed="81"/>
            <rFont val="Tahoma"/>
            <family val="2"/>
          </rPr>
          <t xml:space="preserve">State changed PY start to July 1 for 2010 PY. 
PY 2009 extended to 18 months (1 Jan '09 - 30 Jun '10).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9EF4D6D5-7254-46FA-A506-A2A4B6D03FEF}">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9A70B7E5-53FA-4F05-A8F9-7D2CBB504AC1}">
      <text>
        <r>
          <rPr>
            <b/>
            <sz val="8"/>
            <color indexed="81"/>
            <rFont val="Tahoma"/>
            <family val="2"/>
          </rPr>
          <t>Total Grants for all years listed in LOCCS</t>
        </r>
        <r>
          <rPr>
            <sz val="8"/>
            <color indexed="81"/>
            <rFont val="Tahoma"/>
            <family val="2"/>
          </rPr>
          <t xml:space="preserve">
</t>
        </r>
      </text>
    </comment>
    <comment ref="C2" authorId="0" shapeId="0" xr:uid="{D7575EAD-EE8C-4873-AF77-CEE2BDA8765F}">
      <text>
        <r>
          <rPr>
            <b/>
            <sz val="8"/>
            <color indexed="81"/>
            <rFont val="Tahoma"/>
            <family val="2"/>
          </rPr>
          <t>Total expenditures for all grant years recorded in LOCCS</t>
        </r>
        <r>
          <rPr>
            <sz val="8"/>
            <color indexed="81"/>
            <rFont val="Tahoma"/>
            <family val="2"/>
          </rPr>
          <t xml:space="preserve">
</t>
        </r>
      </text>
    </comment>
    <comment ref="D2" authorId="0" shapeId="0" xr:uid="{5EBCC3E1-4514-43E5-B922-3AB466260E5A}">
      <text>
        <r>
          <rPr>
            <b/>
            <sz val="8"/>
            <color indexed="81"/>
            <rFont val="Tahoma"/>
            <family val="2"/>
          </rPr>
          <t>Column B minus Column C
Calculated from LOCCS data (all grants less all expenditures)</t>
        </r>
      </text>
    </comment>
    <comment ref="E2" authorId="0" shapeId="0" xr:uid="{60D7AC1B-D8B2-4893-A178-54E05C291678}">
      <text>
        <r>
          <rPr>
            <b/>
            <sz val="8"/>
            <color indexed="81"/>
            <rFont val="Tahoma"/>
            <family val="2"/>
          </rPr>
          <t>Total of previous 12 months expenditures recorded in LOCCS</t>
        </r>
      </text>
    </comment>
    <comment ref="F2" authorId="0" shapeId="0" xr:uid="{63E9868C-7AE7-479E-952D-9B4584F8E0DF}">
      <text>
        <r>
          <rPr>
            <b/>
            <sz val="8"/>
            <color indexed="81"/>
            <rFont val="Tahoma"/>
            <family val="2"/>
          </rPr>
          <t xml:space="preserve">
As shown in LOCCS</t>
        </r>
      </text>
    </comment>
    <comment ref="G2" authorId="0" shapeId="0" xr:uid="{DD8D516E-B259-4452-90B7-92EEB810A52B}">
      <text>
        <r>
          <rPr>
            <b/>
            <sz val="8"/>
            <color indexed="81"/>
            <rFont val="Tahoma"/>
            <family val="2"/>
          </rPr>
          <t>Column D divided by Column F
Indicates # of years of funds available in terms of latest grant amt.</t>
        </r>
      </text>
    </comment>
    <comment ref="H2" authorId="0" shapeId="0" xr:uid="{4912CB15-77B0-46E0-A3AE-CE5CBC38D0A3}">
      <text>
        <r>
          <rPr>
            <b/>
            <sz val="8"/>
            <color indexed="81"/>
            <rFont val="Tahoma"/>
            <family val="2"/>
          </rPr>
          <t>Column E divided by Column F
This draw-down rate should be 1 or more to avoid increasing balances.</t>
        </r>
      </text>
    </comment>
    <comment ref="I2" authorId="0" shapeId="0" xr:uid="{371B9A50-B449-4779-8B1F-BA3F1F9E5EBB}">
      <text>
        <r>
          <rPr>
            <b/>
            <sz val="8"/>
            <color indexed="81"/>
            <rFont val="Tahoma"/>
            <family val="2"/>
          </rPr>
          <t>Column E divided by 12
Indicates average dollar amount spent each of the last 12 months.</t>
        </r>
      </text>
    </comment>
    <comment ref="J2" authorId="0" shapeId="0" xr:uid="{80AECF91-5AB2-441B-ABB7-ACC66538D317}">
      <text>
        <r>
          <rPr>
            <b/>
            <sz val="8"/>
            <color indexed="81"/>
            <rFont val="Tahoma"/>
            <family val="2"/>
          </rPr>
          <t>Indicates the number of months remaining until 60 days before end of current Program Year.</t>
        </r>
      </text>
    </comment>
    <comment ref="K2" authorId="0" shapeId="0" xr:uid="{004DC8FE-F8B8-45B3-B619-D9A20B583092}">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059870CC-A019-47D0-84BE-87A0598F833C}">
      <text>
        <r>
          <rPr>
            <b/>
            <sz val="8"/>
            <color indexed="81"/>
            <rFont val="Tahoma"/>
            <family val="2"/>
          </rPr>
          <t>Monthly expenditure in dollars required to reduce unexpended balance to 2 times most recent grant amount by 60 days prior to end of current Program Year.</t>
        </r>
      </text>
    </comment>
    <comment ref="M2" authorId="0" shapeId="0" xr:uid="{65D55471-8E19-4F6F-BDBB-CE794DFCDC90}">
      <text>
        <r>
          <rPr>
            <b/>
            <sz val="8"/>
            <color indexed="81"/>
            <rFont val="Tahoma"/>
            <family val="2"/>
          </rPr>
          <t>Monthly expenditure in dollars required to reduce unexpended balance to 2.5 times most recent grant amount by 60 days prior to end of current Program Year.</t>
        </r>
      </text>
    </comment>
    <comment ref="N2" authorId="0" shapeId="0" xr:uid="{1F7CB6BD-F84F-473A-937D-957CBF8DF5FE}">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A201B1C7-4DD5-4B81-88F5-E7D85FBB727B}">
      <text>
        <r>
          <rPr>
            <b/>
            <sz val="8"/>
            <color indexed="81"/>
            <rFont val="Tahoma"/>
            <family val="2"/>
          </rPr>
          <t xml:space="preserve">Starting date for the State's current Program Year
</t>
        </r>
      </text>
    </comment>
    <comment ref="P2" authorId="0" shapeId="0" xr:uid="{37634814-7CB0-491B-8CB2-A8DBA8DAE27E}">
      <text>
        <r>
          <rPr>
            <b/>
            <sz val="8"/>
            <color indexed="81"/>
            <rFont val="Tahoma"/>
            <family val="2"/>
          </rPr>
          <t>Column C minus prior month's Column C
Calculated from LOCCS data (all expenditures less all expenditures thru prior month)</t>
        </r>
      </text>
    </comment>
    <comment ref="Q2" authorId="0" shapeId="0" xr:uid="{0F42A87C-9DF6-4271-984A-5A87B4A03749}">
      <text>
        <r>
          <rPr>
            <b/>
            <sz val="8"/>
            <color indexed="81"/>
            <rFont val="Tahoma"/>
            <family val="2"/>
          </rPr>
          <t>Month when the most recent grant amount changed in LOCCS.  If change occurred outside range, cell indicates "over 18 months ago".</t>
        </r>
      </text>
    </comment>
    <comment ref="N6" authorId="1" shapeId="0" xr:uid="{E760E69B-1E52-4483-9919-5DF149E387A4}">
      <text>
        <r>
          <rPr>
            <sz val="8"/>
            <color indexed="81"/>
            <rFont val="Tahoma"/>
            <family val="2"/>
          </rPr>
          <t xml:space="preserve">State changed PY start to July 1 for 2010 PY. 
PY 2009 extended to 18 months (1 Jan '09 - 30 Jun '10).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893627D1-00B1-454C-AC35-28C993AE0A1F}">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C00B81B2-55E1-4228-8007-BAA47645414B}">
      <text>
        <r>
          <rPr>
            <b/>
            <sz val="8"/>
            <color indexed="81"/>
            <rFont val="Tahoma"/>
            <family val="2"/>
          </rPr>
          <t>Total Grants for all years listed in LOCCS</t>
        </r>
        <r>
          <rPr>
            <sz val="8"/>
            <color indexed="81"/>
            <rFont val="Tahoma"/>
            <family val="2"/>
          </rPr>
          <t xml:space="preserve">
</t>
        </r>
      </text>
    </comment>
    <comment ref="C2" authorId="0" shapeId="0" xr:uid="{F323E59D-F6DE-44E3-9029-50F710268DC9}">
      <text>
        <r>
          <rPr>
            <b/>
            <sz val="8"/>
            <color indexed="81"/>
            <rFont val="Tahoma"/>
            <family val="2"/>
          </rPr>
          <t>Total expenditures for all grant years recorded in LOCCS</t>
        </r>
        <r>
          <rPr>
            <sz val="8"/>
            <color indexed="81"/>
            <rFont val="Tahoma"/>
            <family val="2"/>
          </rPr>
          <t xml:space="preserve">
</t>
        </r>
      </text>
    </comment>
    <comment ref="D2" authorId="0" shapeId="0" xr:uid="{16B3DD15-D94E-45C0-A93F-91B25E018487}">
      <text>
        <r>
          <rPr>
            <b/>
            <sz val="8"/>
            <color indexed="81"/>
            <rFont val="Tahoma"/>
            <family val="2"/>
          </rPr>
          <t>Column B minus Column C
Calculated from LOCCS data (all grants less all expenditures)</t>
        </r>
      </text>
    </comment>
    <comment ref="E2" authorId="0" shapeId="0" xr:uid="{4830FEBC-8DC8-4808-92B7-205AE39E74A8}">
      <text>
        <r>
          <rPr>
            <b/>
            <sz val="8"/>
            <color indexed="81"/>
            <rFont val="Tahoma"/>
            <family val="2"/>
          </rPr>
          <t>Total of previous 12 months expenditures recorded in LOCCS</t>
        </r>
      </text>
    </comment>
    <comment ref="F2" authorId="0" shapeId="0" xr:uid="{9E88E118-6B1B-4952-BB34-E89D225247CD}">
      <text>
        <r>
          <rPr>
            <b/>
            <sz val="8"/>
            <color indexed="81"/>
            <rFont val="Tahoma"/>
            <family val="2"/>
          </rPr>
          <t xml:space="preserve">
As shown in LOCCS</t>
        </r>
      </text>
    </comment>
    <comment ref="G2" authorId="0" shapeId="0" xr:uid="{BA090139-A787-455B-BFB2-8644D7F44536}">
      <text>
        <r>
          <rPr>
            <b/>
            <sz val="8"/>
            <color indexed="81"/>
            <rFont val="Tahoma"/>
            <family val="2"/>
          </rPr>
          <t>Column D divided by Column F
Indicates # of years of funds available in terms of latest grant amt.</t>
        </r>
      </text>
    </comment>
    <comment ref="H2" authorId="0" shapeId="0" xr:uid="{88B24D0E-5AC3-49B0-B2A5-F0AD79DD0570}">
      <text>
        <r>
          <rPr>
            <b/>
            <sz val="8"/>
            <color indexed="81"/>
            <rFont val="Tahoma"/>
            <family val="2"/>
          </rPr>
          <t>Column E divided by Column F
This draw-down rate should be 1 or more to avoid increasing balances.</t>
        </r>
      </text>
    </comment>
    <comment ref="I2" authorId="0" shapeId="0" xr:uid="{D95C8E97-63C7-4579-B691-B6B21437F206}">
      <text>
        <r>
          <rPr>
            <b/>
            <sz val="8"/>
            <color indexed="81"/>
            <rFont val="Tahoma"/>
            <family val="2"/>
          </rPr>
          <t>Column E divided by 12
Indicates average dollar amount spent each of the last 12 months.</t>
        </r>
      </text>
    </comment>
    <comment ref="J2" authorId="0" shapeId="0" xr:uid="{C0076FAB-BAF7-48E8-8EF1-7ADCB1E3BDAC}">
      <text>
        <r>
          <rPr>
            <b/>
            <sz val="8"/>
            <color indexed="81"/>
            <rFont val="Tahoma"/>
            <family val="2"/>
          </rPr>
          <t>Indicates the number of months remaining until 60 days before end of current Program Year.</t>
        </r>
      </text>
    </comment>
    <comment ref="K2" authorId="0" shapeId="0" xr:uid="{93F7E3BA-AAE0-4DE1-AD95-F984DF0638DB}">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E0BE48B9-6060-433E-9A4C-FB84D3ABBAB9}">
      <text>
        <r>
          <rPr>
            <b/>
            <sz val="8"/>
            <color indexed="81"/>
            <rFont val="Tahoma"/>
            <family val="2"/>
          </rPr>
          <t>Monthly expenditure in dollars required to reduce unexpended balance to 2 times most recent grant amount by 60 days prior to end of current Program Year.</t>
        </r>
      </text>
    </comment>
    <comment ref="M2" authorId="0" shapeId="0" xr:uid="{0E19D8AB-1DD9-42EF-BCD9-EDD4B411811A}">
      <text>
        <r>
          <rPr>
            <b/>
            <sz val="8"/>
            <color indexed="81"/>
            <rFont val="Tahoma"/>
            <family val="2"/>
          </rPr>
          <t>Monthly expenditure in dollars required to reduce unexpended balance to 2.5 times most recent grant amount by 60 days prior to end of current Program Year.</t>
        </r>
      </text>
    </comment>
    <comment ref="N2" authorId="0" shapeId="0" xr:uid="{AAF087F0-D857-4F18-AF7D-7A9F760B9E1F}">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2BADCA35-8C02-4555-A1B6-E2D1C907A6D7}">
      <text>
        <r>
          <rPr>
            <b/>
            <sz val="8"/>
            <color indexed="81"/>
            <rFont val="Tahoma"/>
            <family val="2"/>
          </rPr>
          <t xml:space="preserve">Starting date for the State's current Program Year
</t>
        </r>
      </text>
    </comment>
    <comment ref="P2" authorId="0" shapeId="0" xr:uid="{CC0E2F31-31B1-48B7-A96A-18D1B29EDA04}">
      <text>
        <r>
          <rPr>
            <b/>
            <sz val="8"/>
            <color indexed="81"/>
            <rFont val="Tahoma"/>
            <family val="2"/>
          </rPr>
          <t>Column C minus prior month's Column C
Calculated from LOCCS data (all expenditures less all expenditures thru prior month)</t>
        </r>
      </text>
    </comment>
    <comment ref="Q2" authorId="0" shapeId="0" xr:uid="{335D04E5-2B03-4AFF-BF9A-1BC04E90E9FA}">
      <text>
        <r>
          <rPr>
            <b/>
            <sz val="8"/>
            <color indexed="81"/>
            <rFont val="Tahoma"/>
            <family val="2"/>
          </rPr>
          <t>Month when the most recent grant amount changed in LOCCS.  If change occurred outside range, cell indicates "over 18 months ago".</t>
        </r>
      </text>
    </comment>
    <comment ref="N6" authorId="1" shapeId="0" xr:uid="{EFF54289-5AC8-4B47-A4B4-0FBE450E26E9}">
      <text>
        <r>
          <rPr>
            <sz val="8"/>
            <color indexed="81"/>
            <rFont val="Tahoma"/>
            <family val="2"/>
          </rPr>
          <t xml:space="preserve">State changed PY start to July 1 for 2010 PY. 
PY 2009 extended to 18 months (1 Jan '09 - 30 Jun '10).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930AAD95-E9A6-406A-BC18-C01469BF3232}">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E4FF35A6-77E2-4196-B17C-BF19996D6B0D}">
      <text>
        <r>
          <rPr>
            <b/>
            <sz val="8"/>
            <color indexed="81"/>
            <rFont val="Tahoma"/>
            <family val="2"/>
          </rPr>
          <t>Total Grants for all years listed in LOCCS</t>
        </r>
        <r>
          <rPr>
            <sz val="8"/>
            <color indexed="81"/>
            <rFont val="Tahoma"/>
            <family val="2"/>
          </rPr>
          <t xml:space="preserve">
</t>
        </r>
      </text>
    </comment>
    <comment ref="C2" authorId="0" shapeId="0" xr:uid="{3F939661-9033-4B4C-A542-D0992E85171B}">
      <text>
        <r>
          <rPr>
            <b/>
            <sz val="8"/>
            <color indexed="81"/>
            <rFont val="Tahoma"/>
            <family val="2"/>
          </rPr>
          <t>Total expenditures for all grant years recorded in LOCCS</t>
        </r>
        <r>
          <rPr>
            <sz val="8"/>
            <color indexed="81"/>
            <rFont val="Tahoma"/>
            <family val="2"/>
          </rPr>
          <t xml:space="preserve">
</t>
        </r>
      </text>
    </comment>
    <comment ref="D2" authorId="0" shapeId="0" xr:uid="{F220680A-C0D0-4BCC-8ADB-057D51D09AD9}">
      <text>
        <r>
          <rPr>
            <b/>
            <sz val="8"/>
            <color indexed="81"/>
            <rFont val="Tahoma"/>
            <family val="2"/>
          </rPr>
          <t>Column B minus Column C
Calculated from LOCCS data (all grants less all expenditures)</t>
        </r>
      </text>
    </comment>
    <comment ref="E2" authorId="0" shapeId="0" xr:uid="{588F7563-A00C-4CCC-9817-EC2FCA4ED4C1}">
      <text>
        <r>
          <rPr>
            <b/>
            <sz val="8"/>
            <color indexed="81"/>
            <rFont val="Tahoma"/>
            <family val="2"/>
          </rPr>
          <t>Total of previous 12 months expenditures recorded in LOCCS</t>
        </r>
      </text>
    </comment>
    <comment ref="F2" authorId="0" shapeId="0" xr:uid="{85B20924-6AB7-44A8-AAA0-48F4318E680F}">
      <text>
        <r>
          <rPr>
            <b/>
            <sz val="8"/>
            <color indexed="81"/>
            <rFont val="Tahoma"/>
            <family val="2"/>
          </rPr>
          <t xml:space="preserve">
As shown in LOCCS</t>
        </r>
      </text>
    </comment>
    <comment ref="G2" authorId="0" shapeId="0" xr:uid="{23CB5117-E685-4E1C-AA59-8CC9011E6CC6}">
      <text>
        <r>
          <rPr>
            <b/>
            <sz val="8"/>
            <color indexed="81"/>
            <rFont val="Tahoma"/>
            <family val="2"/>
          </rPr>
          <t>Column D divided by Column F
Indicates # of years of funds available in terms of latest grant amt.</t>
        </r>
      </text>
    </comment>
    <comment ref="H2" authorId="0" shapeId="0" xr:uid="{CAC41B66-A853-4EAF-8935-538952385F4B}">
      <text>
        <r>
          <rPr>
            <b/>
            <sz val="8"/>
            <color indexed="81"/>
            <rFont val="Tahoma"/>
            <family val="2"/>
          </rPr>
          <t>Column E divided by Column F
This draw-down rate should be 1 or more to avoid increasing balances.</t>
        </r>
      </text>
    </comment>
    <comment ref="I2" authorId="0" shapeId="0" xr:uid="{DFD21922-1A85-4619-8324-CDE731EAF620}">
      <text>
        <r>
          <rPr>
            <b/>
            <sz val="8"/>
            <color indexed="81"/>
            <rFont val="Tahoma"/>
            <family val="2"/>
          </rPr>
          <t>Column E divided by 12
Indicates average dollar amount spent each of the last 12 months.</t>
        </r>
      </text>
    </comment>
    <comment ref="J2" authorId="0" shapeId="0" xr:uid="{1F1A6C55-53C9-48BA-924F-32C6913FC4B5}">
      <text>
        <r>
          <rPr>
            <b/>
            <sz val="8"/>
            <color indexed="81"/>
            <rFont val="Tahoma"/>
            <family val="2"/>
          </rPr>
          <t>Indicates the number of months remaining until 60 days before end of current Program Year.</t>
        </r>
      </text>
    </comment>
    <comment ref="K2" authorId="0" shapeId="0" xr:uid="{05853450-75B3-4D5E-996F-853A7E91731F}">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438A79E4-EF9A-48E0-8308-B84B5E87FB3A}">
      <text>
        <r>
          <rPr>
            <b/>
            <sz val="8"/>
            <color indexed="81"/>
            <rFont val="Tahoma"/>
            <family val="2"/>
          </rPr>
          <t>Monthly expenditure in dollars required to reduce unexpended balance to 2 times most recent grant amount by 60 days prior to end of current Program Year.</t>
        </r>
      </text>
    </comment>
    <comment ref="M2" authorId="0" shapeId="0" xr:uid="{BC927EBF-7076-4EAE-9514-CE18B5240E59}">
      <text>
        <r>
          <rPr>
            <b/>
            <sz val="8"/>
            <color indexed="81"/>
            <rFont val="Tahoma"/>
            <family val="2"/>
          </rPr>
          <t>Monthly expenditure in dollars required to reduce unexpended balance to 2.5 times most recent grant amount by 60 days prior to end of current Program Year.</t>
        </r>
      </text>
    </comment>
    <comment ref="N2" authorId="0" shapeId="0" xr:uid="{C86F33A2-C04C-4C5E-97D7-1F05A305B160}">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6AEA5CFD-DE5E-4AEA-A588-60A5837A3CE4}">
      <text>
        <r>
          <rPr>
            <b/>
            <sz val="8"/>
            <color indexed="81"/>
            <rFont val="Tahoma"/>
            <family val="2"/>
          </rPr>
          <t xml:space="preserve">Starting date for the State's current Program Year
</t>
        </r>
      </text>
    </comment>
    <comment ref="P2" authorId="0" shapeId="0" xr:uid="{571585AF-B7D4-4CC7-9E9E-D82815A7DCC1}">
      <text>
        <r>
          <rPr>
            <b/>
            <sz val="8"/>
            <color indexed="81"/>
            <rFont val="Tahoma"/>
            <family val="2"/>
          </rPr>
          <t>Column C minus prior month's Column C
Calculated from LOCCS data (all expenditures less all expenditures thru prior month)</t>
        </r>
      </text>
    </comment>
    <comment ref="Q2" authorId="0" shapeId="0" xr:uid="{FC195075-F0C7-4EB5-8FA4-E1635AA22722}">
      <text>
        <r>
          <rPr>
            <b/>
            <sz val="8"/>
            <color indexed="81"/>
            <rFont val="Tahoma"/>
            <family val="2"/>
          </rPr>
          <t>Month when the most recent grant amount changed in LOCCS.  If change occurred outside range, cell indicates "over 18 months ago".</t>
        </r>
      </text>
    </comment>
    <comment ref="N6" authorId="1" shapeId="0" xr:uid="{FF7866F3-DFAB-448B-9F61-A2C4EE8A8D2B}">
      <text>
        <r>
          <rPr>
            <sz val="8"/>
            <color indexed="81"/>
            <rFont val="Tahoma"/>
            <family val="2"/>
          </rPr>
          <t xml:space="preserve">State changed PY start to July 1 for 2010 PY. 
PY 2009 extended to 18 months (1 Jan '09 - 30 Jun '10).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BE8E1217-9C2A-480B-BBC5-43078E816AA2}">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E9436B3A-7B53-4996-9E22-86C01FD140B8}">
      <text>
        <r>
          <rPr>
            <b/>
            <sz val="8"/>
            <color indexed="81"/>
            <rFont val="Tahoma"/>
            <family val="2"/>
          </rPr>
          <t>Total Grants for all years listed in LOCCS</t>
        </r>
        <r>
          <rPr>
            <sz val="8"/>
            <color indexed="81"/>
            <rFont val="Tahoma"/>
            <family val="2"/>
          </rPr>
          <t xml:space="preserve">
</t>
        </r>
      </text>
    </comment>
    <comment ref="C2" authorId="0" shapeId="0" xr:uid="{1EB04FD2-1826-434C-A8B0-B7AA08ACAD41}">
      <text>
        <r>
          <rPr>
            <b/>
            <sz val="8"/>
            <color indexed="81"/>
            <rFont val="Tahoma"/>
            <family val="2"/>
          </rPr>
          <t>Total expenditures for all grant years recorded in LOCCS</t>
        </r>
        <r>
          <rPr>
            <sz val="8"/>
            <color indexed="81"/>
            <rFont val="Tahoma"/>
            <family val="2"/>
          </rPr>
          <t xml:space="preserve">
</t>
        </r>
      </text>
    </comment>
    <comment ref="D2" authorId="0" shapeId="0" xr:uid="{01BCC58F-A711-4A80-9195-175FBCC5BC54}">
      <text>
        <r>
          <rPr>
            <b/>
            <sz val="8"/>
            <color indexed="81"/>
            <rFont val="Tahoma"/>
            <family val="2"/>
          </rPr>
          <t>Column B minus Column C
Calculated from LOCCS data (all grants less all expenditures)</t>
        </r>
      </text>
    </comment>
    <comment ref="E2" authorId="0" shapeId="0" xr:uid="{5EBA0A2F-876B-4FC3-8764-05A5CB8C1E59}">
      <text>
        <r>
          <rPr>
            <b/>
            <sz val="8"/>
            <color indexed="81"/>
            <rFont val="Tahoma"/>
            <family val="2"/>
          </rPr>
          <t>Total of previous 12 months expenditures recorded in LOCCS</t>
        </r>
      </text>
    </comment>
    <comment ref="F2" authorId="0" shapeId="0" xr:uid="{655845EC-79ED-4D20-BB73-E849CAAAAAC3}">
      <text>
        <r>
          <rPr>
            <b/>
            <sz val="8"/>
            <color indexed="81"/>
            <rFont val="Tahoma"/>
            <family val="2"/>
          </rPr>
          <t xml:space="preserve">
As shown in LOCCS</t>
        </r>
      </text>
    </comment>
    <comment ref="G2" authorId="0" shapeId="0" xr:uid="{D5645EBD-04A0-4371-8AB8-C923A77ACAB8}">
      <text>
        <r>
          <rPr>
            <b/>
            <sz val="8"/>
            <color indexed="81"/>
            <rFont val="Tahoma"/>
            <family val="2"/>
          </rPr>
          <t>Column D divided by Column F
Indicates # of years of funds available in terms of latest grant amt.</t>
        </r>
      </text>
    </comment>
    <comment ref="H2" authorId="0" shapeId="0" xr:uid="{6DBC2F82-51A6-4870-AE00-B76B2D8E860A}">
      <text>
        <r>
          <rPr>
            <b/>
            <sz val="8"/>
            <color indexed="81"/>
            <rFont val="Tahoma"/>
            <family val="2"/>
          </rPr>
          <t>Column E divided by Column F
This draw-down rate should be 1 or more to avoid increasing balances.</t>
        </r>
      </text>
    </comment>
    <comment ref="I2" authorId="0" shapeId="0" xr:uid="{94C8DF3D-1536-49CD-BD53-616C6E527367}">
      <text>
        <r>
          <rPr>
            <b/>
            <sz val="8"/>
            <color indexed="81"/>
            <rFont val="Tahoma"/>
            <family val="2"/>
          </rPr>
          <t>Column E divided by 12
Indicates average dollar amount spent each of the last 12 months.</t>
        </r>
      </text>
    </comment>
    <comment ref="J2" authorId="0" shapeId="0" xr:uid="{28EC2A9F-BC94-475C-94F8-1BF8BCCD7F67}">
      <text>
        <r>
          <rPr>
            <b/>
            <sz val="8"/>
            <color indexed="81"/>
            <rFont val="Tahoma"/>
            <family val="2"/>
          </rPr>
          <t>Indicates the number of months remaining until 60 days before end of current Program Year.</t>
        </r>
      </text>
    </comment>
    <comment ref="K2" authorId="0" shapeId="0" xr:uid="{E012F85D-2E00-4BB4-8246-D611A1F73A5A}">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743383E8-541A-4B42-84DB-56D1C364BBE6}">
      <text>
        <r>
          <rPr>
            <b/>
            <sz val="8"/>
            <color indexed="81"/>
            <rFont val="Tahoma"/>
            <family val="2"/>
          </rPr>
          <t>Monthly expenditure in dollars required to reduce unexpended balance to 2 times most recent grant amount by 60 days prior to end of current Program Year.</t>
        </r>
      </text>
    </comment>
    <comment ref="M2" authorId="0" shapeId="0" xr:uid="{FDF52E0D-613C-45A5-A45E-074932C2A1DE}">
      <text>
        <r>
          <rPr>
            <b/>
            <sz val="8"/>
            <color indexed="81"/>
            <rFont val="Tahoma"/>
            <family val="2"/>
          </rPr>
          <t>Monthly expenditure in dollars required to reduce unexpended balance to 2.5 times most recent grant amount by 60 days prior to end of current Program Year.</t>
        </r>
      </text>
    </comment>
    <comment ref="N2" authorId="0" shapeId="0" xr:uid="{778EF3CB-161B-4405-AADF-C9A0A93C4446}">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2E2B5837-AC58-48BD-A9D8-844BBA5C9A99}">
      <text>
        <r>
          <rPr>
            <b/>
            <sz val="8"/>
            <color indexed="81"/>
            <rFont val="Tahoma"/>
            <family val="2"/>
          </rPr>
          <t xml:space="preserve">Starting date for the State's current Program Year
</t>
        </r>
      </text>
    </comment>
    <comment ref="P2" authorId="0" shapeId="0" xr:uid="{A87A9C4E-F075-4084-98F2-A5CA07965D98}">
      <text>
        <r>
          <rPr>
            <b/>
            <sz val="8"/>
            <color indexed="81"/>
            <rFont val="Tahoma"/>
            <family val="2"/>
          </rPr>
          <t>Column C minus prior month's Column C
Calculated from LOCCS data (all expenditures less all expenditures thru prior month)</t>
        </r>
      </text>
    </comment>
    <comment ref="Q2" authorId="0" shapeId="0" xr:uid="{5B0649DA-A364-46F8-9F2F-A5DDA1AA2512}">
      <text>
        <r>
          <rPr>
            <b/>
            <sz val="8"/>
            <color indexed="81"/>
            <rFont val="Tahoma"/>
            <family val="2"/>
          </rPr>
          <t>Month when the most recent grant amount changed in LOCCS.  If change occurred outside range, cell indicates "over 18 months ago".</t>
        </r>
      </text>
    </comment>
    <comment ref="N6" authorId="1" shapeId="0" xr:uid="{10C5E0FA-1A91-4680-8CE4-D9A0F6A41F01}">
      <text>
        <r>
          <rPr>
            <sz val="8"/>
            <color indexed="81"/>
            <rFont val="Tahoma"/>
            <family val="2"/>
          </rPr>
          <t xml:space="preserve">State changed PY start to July 1 for 2010 PY. 
PY 2009 extended to 18 months (1 Jan '09 - 30 Jun '10).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BE7BB107-A57B-4C91-8D1E-02B0EFE0E86C}">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83047787-2E0C-4C57-A185-8398B5E476F9}">
      <text>
        <r>
          <rPr>
            <b/>
            <sz val="8"/>
            <color indexed="81"/>
            <rFont val="Tahoma"/>
            <family val="2"/>
          </rPr>
          <t>Total Grants for all years listed in LOCCS</t>
        </r>
        <r>
          <rPr>
            <sz val="8"/>
            <color indexed="81"/>
            <rFont val="Tahoma"/>
            <family val="2"/>
          </rPr>
          <t xml:space="preserve">
</t>
        </r>
      </text>
    </comment>
    <comment ref="C2" authorId="0" shapeId="0" xr:uid="{6288DCB3-1E13-4409-BC13-F3313E717EE6}">
      <text>
        <r>
          <rPr>
            <b/>
            <sz val="8"/>
            <color indexed="81"/>
            <rFont val="Tahoma"/>
            <family val="2"/>
          </rPr>
          <t>Total expenditures for all grant years recorded in LOCCS</t>
        </r>
        <r>
          <rPr>
            <sz val="8"/>
            <color indexed="81"/>
            <rFont val="Tahoma"/>
            <family val="2"/>
          </rPr>
          <t xml:space="preserve">
</t>
        </r>
      </text>
    </comment>
    <comment ref="D2" authorId="0" shapeId="0" xr:uid="{D1149519-0983-464A-887E-3DEC7A472578}">
      <text>
        <r>
          <rPr>
            <b/>
            <sz val="8"/>
            <color indexed="81"/>
            <rFont val="Tahoma"/>
            <family val="2"/>
          </rPr>
          <t>Column B minus Column C
Calculated from LOCCS data (all grants less all expenditures)</t>
        </r>
      </text>
    </comment>
    <comment ref="E2" authorId="0" shapeId="0" xr:uid="{ECE81F05-CD64-4438-AFF9-259FC70885A5}">
      <text>
        <r>
          <rPr>
            <b/>
            <sz val="8"/>
            <color indexed="81"/>
            <rFont val="Tahoma"/>
            <family val="2"/>
          </rPr>
          <t>Total of previous 12 months expenditures recorded in LOCCS</t>
        </r>
      </text>
    </comment>
    <comment ref="F2" authorId="0" shapeId="0" xr:uid="{3534AF7D-4C8D-4104-9AD7-68068495C13F}">
      <text>
        <r>
          <rPr>
            <b/>
            <sz val="8"/>
            <color indexed="81"/>
            <rFont val="Tahoma"/>
            <family val="2"/>
          </rPr>
          <t xml:space="preserve">
As shown in LOCCS</t>
        </r>
      </text>
    </comment>
    <comment ref="G2" authorId="0" shapeId="0" xr:uid="{49863699-8CE7-4F1A-A7A4-28DC8DC8A05B}">
      <text>
        <r>
          <rPr>
            <b/>
            <sz val="8"/>
            <color indexed="81"/>
            <rFont val="Tahoma"/>
            <family val="2"/>
          </rPr>
          <t>Column D divided by Column F
Indicates # of years of funds available in terms of latest grant amt.</t>
        </r>
      </text>
    </comment>
    <comment ref="H2" authorId="0" shapeId="0" xr:uid="{45267169-CBEF-41D7-8C35-CA344E2E9C19}">
      <text>
        <r>
          <rPr>
            <b/>
            <sz val="8"/>
            <color indexed="81"/>
            <rFont val="Tahoma"/>
            <family val="2"/>
          </rPr>
          <t>Column E divided by Column F
This draw-down rate should be 1 or more to avoid increasing balances.</t>
        </r>
      </text>
    </comment>
    <comment ref="I2" authorId="0" shapeId="0" xr:uid="{146B4555-D555-4B0C-8421-9516DB898E74}">
      <text>
        <r>
          <rPr>
            <b/>
            <sz val="8"/>
            <color indexed="81"/>
            <rFont val="Tahoma"/>
            <family val="2"/>
          </rPr>
          <t>Column E divided by 12
Indicates average dollar amount spent each of the last 12 months.</t>
        </r>
      </text>
    </comment>
    <comment ref="J2" authorId="0" shapeId="0" xr:uid="{65ACE611-CCBC-48C9-B98B-2F61958B7942}">
      <text>
        <r>
          <rPr>
            <b/>
            <sz val="8"/>
            <color indexed="81"/>
            <rFont val="Tahoma"/>
            <family val="2"/>
          </rPr>
          <t>Indicates the number of months remaining until 60 days before end of current Program Year.</t>
        </r>
      </text>
    </comment>
    <comment ref="K2" authorId="0" shapeId="0" xr:uid="{60D01963-3015-4705-8731-FBE85552B70C}">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7B55DAD9-712F-4390-9A9C-B4E99376B830}">
      <text>
        <r>
          <rPr>
            <b/>
            <sz val="8"/>
            <color indexed="81"/>
            <rFont val="Tahoma"/>
            <family val="2"/>
          </rPr>
          <t>Monthly expenditure in dollars required to reduce unexpended balance to 2 times most recent grant amount by 60 days prior to end of current Program Year.</t>
        </r>
      </text>
    </comment>
    <comment ref="M2" authorId="0" shapeId="0" xr:uid="{5A074792-A515-4400-83F8-3FCAAAA79644}">
      <text>
        <r>
          <rPr>
            <b/>
            <sz val="8"/>
            <color indexed="81"/>
            <rFont val="Tahoma"/>
            <family val="2"/>
          </rPr>
          <t>Monthly expenditure in dollars required to reduce unexpended balance to 2.5 times most recent grant amount by 60 days prior to end of current Program Year.</t>
        </r>
      </text>
    </comment>
    <comment ref="N2" authorId="0" shapeId="0" xr:uid="{4A23E399-3D8C-45FC-B37C-6F158E52B228}">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314DEE3F-C3E0-44DA-8163-31AA7B19C0D4}">
      <text>
        <r>
          <rPr>
            <b/>
            <sz val="8"/>
            <color indexed="81"/>
            <rFont val="Tahoma"/>
            <family val="2"/>
          </rPr>
          <t xml:space="preserve">Starting date for the State's current Program Year
</t>
        </r>
      </text>
    </comment>
    <comment ref="P2" authorId="0" shapeId="0" xr:uid="{CDC02B0E-0EC1-4A66-99A1-CA984337FA05}">
      <text>
        <r>
          <rPr>
            <b/>
            <sz val="8"/>
            <color indexed="81"/>
            <rFont val="Tahoma"/>
            <family val="2"/>
          </rPr>
          <t>Column C minus prior month's Column C
Calculated from LOCCS data (all expenditures less all expenditures thru prior month)</t>
        </r>
      </text>
    </comment>
    <comment ref="Q2" authorId="0" shapeId="0" xr:uid="{34D9AFCC-4B91-4083-AFDC-ABF714023CC2}">
      <text>
        <r>
          <rPr>
            <b/>
            <sz val="8"/>
            <color indexed="81"/>
            <rFont val="Tahoma"/>
            <family val="2"/>
          </rPr>
          <t>Month when the most recent grant amount changed in LOCCS.  If change occurred outside range, cell indicates "over 18 months ago".</t>
        </r>
      </text>
    </comment>
    <comment ref="N6" authorId="1" shapeId="0" xr:uid="{E919CA81-D3FB-4F6A-8E0A-1913D5E74221}">
      <text>
        <r>
          <rPr>
            <sz val="8"/>
            <color indexed="81"/>
            <rFont val="Tahoma"/>
            <family val="2"/>
          </rPr>
          <t xml:space="preserve">State changed PY start to July 1 for 2010 PY. 
PY 2009 extended to 18 months (1 Jan '09 - 30 Jun '10).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D94B44F7-49B6-43AA-9D1C-32C92D740964}">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8A528879-7970-4AA7-9FB9-F5AC51A05C40}">
      <text>
        <r>
          <rPr>
            <b/>
            <sz val="8"/>
            <color indexed="81"/>
            <rFont val="Tahoma"/>
            <family val="2"/>
          </rPr>
          <t>Total Grants for all years listed in LOCCS</t>
        </r>
        <r>
          <rPr>
            <sz val="8"/>
            <color indexed="81"/>
            <rFont val="Tahoma"/>
            <family val="2"/>
          </rPr>
          <t xml:space="preserve">
</t>
        </r>
      </text>
    </comment>
    <comment ref="C2" authorId="0" shapeId="0" xr:uid="{F982C4CC-3610-45D6-ACFD-CACCD4AB97F5}">
      <text>
        <r>
          <rPr>
            <b/>
            <sz val="8"/>
            <color indexed="81"/>
            <rFont val="Tahoma"/>
            <family val="2"/>
          </rPr>
          <t>Total expenditures for all grant years recorded in LOCCS</t>
        </r>
        <r>
          <rPr>
            <sz val="8"/>
            <color indexed="81"/>
            <rFont val="Tahoma"/>
            <family val="2"/>
          </rPr>
          <t xml:space="preserve">
</t>
        </r>
      </text>
    </comment>
    <comment ref="D2" authorId="0" shapeId="0" xr:uid="{7C40CF51-45C6-4F31-A174-0AD234AEA2A9}">
      <text>
        <r>
          <rPr>
            <b/>
            <sz val="8"/>
            <color indexed="81"/>
            <rFont val="Tahoma"/>
            <family val="2"/>
          </rPr>
          <t>Column B minus Column C
Calculated from LOCCS data (all grants less all expenditures)</t>
        </r>
      </text>
    </comment>
    <comment ref="E2" authorId="0" shapeId="0" xr:uid="{B174DA7D-C471-492A-A7BD-23DCEC135477}">
      <text>
        <r>
          <rPr>
            <b/>
            <sz val="8"/>
            <color indexed="81"/>
            <rFont val="Tahoma"/>
            <family val="2"/>
          </rPr>
          <t>Total of previous 12 months expenditures recorded in LOCCS</t>
        </r>
      </text>
    </comment>
    <comment ref="F2" authorId="0" shapeId="0" xr:uid="{FECD63BF-3F72-41C2-8259-A9E8EC05C686}">
      <text>
        <r>
          <rPr>
            <b/>
            <sz val="8"/>
            <color indexed="81"/>
            <rFont val="Tahoma"/>
            <family val="2"/>
          </rPr>
          <t xml:space="preserve">
As shown in LOCCS</t>
        </r>
      </text>
    </comment>
    <comment ref="G2" authorId="0" shapeId="0" xr:uid="{A619C002-3CB2-44F8-9C46-D2217AA58B94}">
      <text>
        <r>
          <rPr>
            <b/>
            <sz val="8"/>
            <color indexed="81"/>
            <rFont val="Tahoma"/>
            <family val="2"/>
          </rPr>
          <t>Column D divided by Column F
Indicates # of years of funds available in terms of latest grant amt.</t>
        </r>
      </text>
    </comment>
    <comment ref="H2" authorId="0" shapeId="0" xr:uid="{2B012313-9D64-497D-A48C-2E0794AAD721}">
      <text>
        <r>
          <rPr>
            <b/>
            <sz val="8"/>
            <color indexed="81"/>
            <rFont val="Tahoma"/>
            <family val="2"/>
          </rPr>
          <t>Column E divided by Column F
This draw-down rate should be 1 or more to avoid increasing balances.</t>
        </r>
      </text>
    </comment>
    <comment ref="I2" authorId="0" shapeId="0" xr:uid="{B9124A81-77FD-495B-9F56-F81393AB990E}">
      <text>
        <r>
          <rPr>
            <b/>
            <sz val="8"/>
            <color indexed="81"/>
            <rFont val="Tahoma"/>
            <family val="2"/>
          </rPr>
          <t>Column E divided by 12
Indicates average dollar amount spent each of the last 12 months.</t>
        </r>
      </text>
    </comment>
    <comment ref="J2" authorId="0" shapeId="0" xr:uid="{C7FECBD3-1C75-4E4F-8D3D-F3E9EB1E1A36}">
      <text>
        <r>
          <rPr>
            <b/>
            <sz val="8"/>
            <color indexed="81"/>
            <rFont val="Tahoma"/>
            <family val="2"/>
          </rPr>
          <t>Indicates the number of months remaining until 60 days before end of current Program Year.</t>
        </r>
      </text>
    </comment>
    <comment ref="K2" authorId="0" shapeId="0" xr:uid="{383126D9-729F-4E85-A1CD-1559E4453894}">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3D2553D0-FEBD-45AC-83D8-1F07FB9D9677}">
      <text>
        <r>
          <rPr>
            <b/>
            <sz val="8"/>
            <color indexed="81"/>
            <rFont val="Tahoma"/>
            <family val="2"/>
          </rPr>
          <t>Monthly expenditure in dollars required to reduce unexpended balance to 2 times most recent grant amount by 60 days prior to end of current Program Year.</t>
        </r>
      </text>
    </comment>
    <comment ref="M2" authorId="0" shapeId="0" xr:uid="{CC16D3D3-74F7-4E91-96A3-C2CB8C82CBB7}">
      <text>
        <r>
          <rPr>
            <b/>
            <sz val="8"/>
            <color indexed="81"/>
            <rFont val="Tahoma"/>
            <family val="2"/>
          </rPr>
          <t>Monthly expenditure in dollars required to reduce unexpended balance to 2.5 times most recent grant amount by 60 days prior to end of current Program Year.</t>
        </r>
      </text>
    </comment>
    <comment ref="N2" authorId="0" shapeId="0" xr:uid="{4E7D6582-75B1-4D98-9E87-589F63B412AA}">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1B069C37-AC48-441D-960A-8893EE45223E}">
      <text>
        <r>
          <rPr>
            <b/>
            <sz val="8"/>
            <color indexed="81"/>
            <rFont val="Tahoma"/>
            <family val="2"/>
          </rPr>
          <t xml:space="preserve">Starting date for the State's current Program Year
</t>
        </r>
      </text>
    </comment>
    <comment ref="P2" authorId="0" shapeId="0" xr:uid="{C812F990-3D53-43A5-9D31-630BBEB31222}">
      <text>
        <r>
          <rPr>
            <b/>
            <sz val="8"/>
            <color indexed="81"/>
            <rFont val="Tahoma"/>
            <family val="2"/>
          </rPr>
          <t>Column C minus prior month's Column C
Calculated from LOCCS data (all expenditures less all expenditures thru prior month)</t>
        </r>
      </text>
    </comment>
    <comment ref="Q2" authorId="0" shapeId="0" xr:uid="{B481A4DE-B16F-4ACF-93BE-A1E260C4AC6D}">
      <text>
        <r>
          <rPr>
            <b/>
            <sz val="8"/>
            <color indexed="81"/>
            <rFont val="Tahoma"/>
            <family val="2"/>
          </rPr>
          <t>Month when the most recent grant amount changed in LOCCS.  If change occurred outside range, cell indicates "over 18 months ago".</t>
        </r>
      </text>
    </comment>
    <comment ref="N6" authorId="1" shapeId="0" xr:uid="{EDDCA34A-2580-4D6B-9F66-9A994E4438B9}">
      <text>
        <r>
          <rPr>
            <sz val="8"/>
            <color indexed="81"/>
            <rFont val="Tahoma"/>
            <family val="2"/>
          </rPr>
          <t xml:space="preserve">State changed PY start to July 1 for 2010 PY. 
PY 2009 extended to 18 months (1 Jan '09 - 30 Jun '10).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340CE583-2A82-43D6-9A15-EAED63BF47B7}">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C3F61B12-AEC4-4901-8E00-2FCF7B19EC5D}">
      <text>
        <r>
          <rPr>
            <b/>
            <sz val="8"/>
            <color indexed="81"/>
            <rFont val="Tahoma"/>
            <family val="2"/>
          </rPr>
          <t>Total Grants for all years listed in LOCCS</t>
        </r>
        <r>
          <rPr>
            <sz val="8"/>
            <color indexed="81"/>
            <rFont val="Tahoma"/>
            <family val="2"/>
          </rPr>
          <t xml:space="preserve">
</t>
        </r>
      </text>
    </comment>
    <comment ref="C2" authorId="0" shapeId="0" xr:uid="{5CCF7EBF-2F67-472C-A650-597150759F6D}">
      <text>
        <r>
          <rPr>
            <b/>
            <sz val="8"/>
            <color indexed="81"/>
            <rFont val="Tahoma"/>
            <family val="2"/>
          </rPr>
          <t>Total expenditures for all grant years recorded in LOCCS</t>
        </r>
        <r>
          <rPr>
            <sz val="8"/>
            <color indexed="81"/>
            <rFont val="Tahoma"/>
            <family val="2"/>
          </rPr>
          <t xml:space="preserve">
</t>
        </r>
      </text>
    </comment>
    <comment ref="D2" authorId="0" shapeId="0" xr:uid="{496ADB3A-983E-4300-853F-83F69ABFC449}">
      <text>
        <r>
          <rPr>
            <b/>
            <sz val="8"/>
            <color indexed="81"/>
            <rFont val="Tahoma"/>
            <family val="2"/>
          </rPr>
          <t>Column B minus Column C
Calculated from LOCCS data (all grants less all expenditures)</t>
        </r>
      </text>
    </comment>
    <comment ref="E2" authorId="0" shapeId="0" xr:uid="{10FEAE60-F01E-4F4D-883F-A2704D35C915}">
      <text>
        <r>
          <rPr>
            <b/>
            <sz val="8"/>
            <color indexed="81"/>
            <rFont val="Tahoma"/>
            <family val="2"/>
          </rPr>
          <t>Total of previous 12 months expenditures recorded in LOCCS</t>
        </r>
      </text>
    </comment>
    <comment ref="F2" authorId="0" shapeId="0" xr:uid="{20F5730A-26DC-4300-B42A-D910918E5BC9}">
      <text>
        <r>
          <rPr>
            <b/>
            <sz val="8"/>
            <color indexed="81"/>
            <rFont val="Tahoma"/>
            <family val="2"/>
          </rPr>
          <t xml:space="preserve">
As shown in LOCCS</t>
        </r>
      </text>
    </comment>
    <comment ref="G2" authorId="0" shapeId="0" xr:uid="{A9C5E747-5F5A-4529-AD56-E4048D1BADDE}">
      <text>
        <r>
          <rPr>
            <b/>
            <sz val="8"/>
            <color indexed="81"/>
            <rFont val="Tahoma"/>
            <family val="2"/>
          </rPr>
          <t>Column D divided by Column F
Indicates # of years of funds available in terms of latest grant amt.</t>
        </r>
      </text>
    </comment>
    <comment ref="H2" authorId="0" shapeId="0" xr:uid="{5369A0DC-E08E-408F-A81D-AACA90EA3418}">
      <text>
        <r>
          <rPr>
            <b/>
            <sz val="8"/>
            <color indexed="81"/>
            <rFont val="Tahoma"/>
            <family val="2"/>
          </rPr>
          <t>Column E divided by Column F
This draw-down rate should be 1 or more to avoid increasing balances.</t>
        </r>
      </text>
    </comment>
    <comment ref="I2" authorId="0" shapeId="0" xr:uid="{426BFA2F-D0EB-46AF-B32C-CE1138E7AF28}">
      <text>
        <r>
          <rPr>
            <b/>
            <sz val="8"/>
            <color indexed="81"/>
            <rFont val="Tahoma"/>
            <family val="2"/>
          </rPr>
          <t>Column E divided by 12
Indicates average dollar amount spent each of the last 12 months.</t>
        </r>
      </text>
    </comment>
    <comment ref="J2" authorId="0" shapeId="0" xr:uid="{32E43F94-0C0D-4F5E-AAE2-C26C79E2E6CF}">
      <text>
        <r>
          <rPr>
            <b/>
            <sz val="8"/>
            <color indexed="81"/>
            <rFont val="Tahoma"/>
            <family val="2"/>
          </rPr>
          <t>Indicates the number of months remaining until 60 days before end of current Program Year.</t>
        </r>
      </text>
    </comment>
    <comment ref="K2" authorId="0" shapeId="0" xr:uid="{19A5EDC0-927D-4FCE-95E8-E3911DD7D65F}">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4022EACF-9D0E-4AEB-9EC0-99FE3E01EA0B}">
      <text>
        <r>
          <rPr>
            <b/>
            <sz val="8"/>
            <color indexed="81"/>
            <rFont val="Tahoma"/>
            <family val="2"/>
          </rPr>
          <t>Monthly expenditure in dollars required to reduce unexpended balance to 2 times most recent grant amount by 60 days prior to end of current Program Year.</t>
        </r>
      </text>
    </comment>
    <comment ref="M2" authorId="0" shapeId="0" xr:uid="{A88A9675-94C8-4691-B980-B1CD1D00B945}">
      <text>
        <r>
          <rPr>
            <b/>
            <sz val="8"/>
            <color indexed="81"/>
            <rFont val="Tahoma"/>
            <family val="2"/>
          </rPr>
          <t>Monthly expenditure in dollars required to reduce unexpended balance to 2.5 times most recent grant amount by 60 days prior to end of current Program Year.</t>
        </r>
      </text>
    </comment>
    <comment ref="N2" authorId="0" shapeId="0" xr:uid="{2B571589-9EA3-48FD-911D-137F8D8B6065}">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7547D3F2-FEC0-4FAD-A391-BC87C1DC8B52}">
      <text>
        <r>
          <rPr>
            <b/>
            <sz val="8"/>
            <color indexed="81"/>
            <rFont val="Tahoma"/>
            <family val="2"/>
          </rPr>
          <t xml:space="preserve">Starting date for the State's current Program Year
</t>
        </r>
      </text>
    </comment>
    <comment ref="P2" authorId="0" shapeId="0" xr:uid="{0EFB35B4-C02B-4980-B5C8-21C8D5EC103B}">
      <text>
        <r>
          <rPr>
            <b/>
            <sz val="8"/>
            <color indexed="81"/>
            <rFont val="Tahoma"/>
            <family val="2"/>
          </rPr>
          <t>Column C minus prior month's Column C
Calculated from LOCCS data (all expenditures less all expenditures thru prior month)</t>
        </r>
      </text>
    </comment>
    <comment ref="Q2" authorId="0" shapeId="0" xr:uid="{F0D43E97-7476-4F70-8D17-10D30777FD1A}">
      <text>
        <r>
          <rPr>
            <b/>
            <sz val="8"/>
            <color indexed="81"/>
            <rFont val="Tahoma"/>
            <family val="2"/>
          </rPr>
          <t>Month when the most recent grant amount changed in LOCCS.  If change occurred outside range, cell indicates "over 18 months ago".</t>
        </r>
      </text>
    </comment>
    <comment ref="N5" authorId="1" shapeId="0" xr:uid="{D23F91A6-C9C7-4BB2-870F-A3520F07281A}">
      <text>
        <r>
          <rPr>
            <sz val="8"/>
            <color indexed="81"/>
            <rFont val="Tahoma"/>
            <family val="2"/>
          </rPr>
          <t xml:space="preserve">State changed PY start to July 1 for 2010 PY. 
PY 2009 extended to 18 months (1 Jan '09 - 30 Jun '10).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B5C29C83-DEF6-43F8-B01F-099BBB0EA65F}">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C5DEB525-268D-40F3-8F7D-E75333A3C8C2}">
      <text>
        <r>
          <rPr>
            <b/>
            <sz val="8"/>
            <color indexed="81"/>
            <rFont val="Tahoma"/>
            <family val="2"/>
          </rPr>
          <t>Total Grants for all years listed in LOCCS</t>
        </r>
        <r>
          <rPr>
            <sz val="8"/>
            <color indexed="81"/>
            <rFont val="Tahoma"/>
            <family val="2"/>
          </rPr>
          <t xml:space="preserve">
</t>
        </r>
      </text>
    </comment>
    <comment ref="C2" authorId="0" shapeId="0" xr:uid="{66318C72-4280-48D9-9486-9FA66A1D7F1E}">
      <text>
        <r>
          <rPr>
            <b/>
            <sz val="8"/>
            <color indexed="81"/>
            <rFont val="Tahoma"/>
            <family val="2"/>
          </rPr>
          <t>Total expenditures for all grant years recorded in LOCCS</t>
        </r>
        <r>
          <rPr>
            <sz val="8"/>
            <color indexed="81"/>
            <rFont val="Tahoma"/>
            <family val="2"/>
          </rPr>
          <t xml:space="preserve">
</t>
        </r>
      </text>
    </comment>
    <comment ref="D2" authorId="0" shapeId="0" xr:uid="{B7E43D01-B3A0-4F2E-A9CB-1B917D0FEDCB}">
      <text>
        <r>
          <rPr>
            <b/>
            <sz val="8"/>
            <color indexed="81"/>
            <rFont val="Tahoma"/>
            <family val="2"/>
          </rPr>
          <t>Column B minus Column C
Calculated from LOCCS data (all grants less all expenditures)</t>
        </r>
      </text>
    </comment>
    <comment ref="E2" authorId="0" shapeId="0" xr:uid="{4E02BDD9-AD9B-4A80-80EF-A06AC28E4EA6}">
      <text>
        <r>
          <rPr>
            <b/>
            <sz val="8"/>
            <color indexed="81"/>
            <rFont val="Tahoma"/>
            <family val="2"/>
          </rPr>
          <t>Total of previous 12 months expenditures recorded in LOCCS</t>
        </r>
      </text>
    </comment>
    <comment ref="F2" authorId="0" shapeId="0" xr:uid="{700286BC-F0B0-405C-9D1B-BE0F75B46335}">
      <text>
        <r>
          <rPr>
            <b/>
            <sz val="8"/>
            <color indexed="81"/>
            <rFont val="Tahoma"/>
            <family val="2"/>
          </rPr>
          <t xml:space="preserve">
As shown in LOCCS</t>
        </r>
      </text>
    </comment>
    <comment ref="G2" authorId="0" shapeId="0" xr:uid="{BBAA0ED0-770E-4CA9-8365-4E6B0EC6680D}">
      <text>
        <r>
          <rPr>
            <b/>
            <sz val="8"/>
            <color indexed="81"/>
            <rFont val="Tahoma"/>
            <family val="2"/>
          </rPr>
          <t>Column D divided by Column F
Indicates # of years of funds available in terms of latest grant amt.</t>
        </r>
      </text>
    </comment>
    <comment ref="H2" authorId="0" shapeId="0" xr:uid="{3F8AAABF-7820-4D5B-9BC2-16ECBAB9E20B}">
      <text>
        <r>
          <rPr>
            <b/>
            <sz val="8"/>
            <color indexed="81"/>
            <rFont val="Tahoma"/>
            <family val="2"/>
          </rPr>
          <t>Column E divided by Column F
This draw-down rate should be 1 or more to avoid increasing balances.</t>
        </r>
      </text>
    </comment>
    <comment ref="I2" authorId="0" shapeId="0" xr:uid="{4ED284D6-5DFE-436A-B814-CC4ABAD99582}">
      <text>
        <r>
          <rPr>
            <b/>
            <sz val="8"/>
            <color indexed="81"/>
            <rFont val="Tahoma"/>
            <family val="2"/>
          </rPr>
          <t>Column E divided by 12
Indicates average dollar amount spent each of the last 12 months.</t>
        </r>
      </text>
    </comment>
    <comment ref="J2" authorId="0" shapeId="0" xr:uid="{39C470D4-9911-4155-89D7-9BA285DB313F}">
      <text>
        <r>
          <rPr>
            <b/>
            <sz val="8"/>
            <color indexed="81"/>
            <rFont val="Tahoma"/>
            <family val="2"/>
          </rPr>
          <t>Indicates the number of months remaining until 60 days before end of current Program Year.</t>
        </r>
      </text>
    </comment>
    <comment ref="K2" authorId="0" shapeId="0" xr:uid="{106586BD-D211-4052-81AB-5B20CE6BD1ED}">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C8F03B3E-9D2E-4E57-96FC-ECE75BC3F92E}">
      <text>
        <r>
          <rPr>
            <b/>
            <sz val="8"/>
            <color indexed="81"/>
            <rFont val="Tahoma"/>
            <family val="2"/>
          </rPr>
          <t>Monthly expenditure in dollars required to reduce unexpended balance to 2 times most recent grant amount by 60 days prior to end of current Program Year.</t>
        </r>
      </text>
    </comment>
    <comment ref="M2" authorId="0" shapeId="0" xr:uid="{4A290451-D32A-4F37-BAA8-DDD5662A3B08}">
      <text>
        <r>
          <rPr>
            <b/>
            <sz val="8"/>
            <color indexed="81"/>
            <rFont val="Tahoma"/>
            <family val="2"/>
          </rPr>
          <t>Monthly expenditure in dollars required to reduce unexpended balance to 2.5 times most recent grant amount by 60 days prior to end of current Program Year.</t>
        </r>
      </text>
    </comment>
    <comment ref="N2" authorId="0" shapeId="0" xr:uid="{149CB752-6000-4221-9424-E71243C18F07}">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863774E7-BCA0-4502-A4A3-FC3ED38451D0}">
      <text>
        <r>
          <rPr>
            <b/>
            <sz val="8"/>
            <color indexed="81"/>
            <rFont val="Tahoma"/>
            <family val="2"/>
          </rPr>
          <t xml:space="preserve">Starting date for the State's current Program Year
</t>
        </r>
      </text>
    </comment>
    <comment ref="P2" authorId="0" shapeId="0" xr:uid="{56073D5C-C263-49DD-9A88-78DB82C1FD33}">
      <text>
        <r>
          <rPr>
            <b/>
            <sz val="8"/>
            <color indexed="81"/>
            <rFont val="Tahoma"/>
            <family val="2"/>
          </rPr>
          <t>Column C minus prior month's Column C
Calculated from LOCCS data (all expenditures less all expenditures thru prior month)</t>
        </r>
      </text>
    </comment>
    <comment ref="Q2" authorId="0" shapeId="0" xr:uid="{5D72CFB1-92A6-4096-9F05-3788C0F8FF79}">
      <text>
        <r>
          <rPr>
            <b/>
            <sz val="8"/>
            <color indexed="81"/>
            <rFont val="Tahoma"/>
            <family val="2"/>
          </rPr>
          <t>Month when the most recent grant amount changed in LOCCS.  If change occurred outside range, cell indicates "over 18 months ago".</t>
        </r>
      </text>
    </comment>
    <comment ref="N4" authorId="1" shapeId="0" xr:uid="{42B3B29E-2355-433B-8C0F-8413365F3FDE}">
      <text>
        <r>
          <rPr>
            <sz val="8"/>
            <color indexed="81"/>
            <rFont val="Tahoma"/>
            <family val="2"/>
          </rPr>
          <t xml:space="preserve">State changed PY start to July 1 for 2010 PY. 
PY 2009 extended to 18 months (1 Jan '09 - 30 Jun '10).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DF0DAFB2-4002-4814-B133-FAF521C4AE55}">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0C1E33CD-BD6F-42A0-BF0B-063B42901751}">
      <text>
        <r>
          <rPr>
            <b/>
            <sz val="8"/>
            <color indexed="81"/>
            <rFont val="Tahoma"/>
            <family val="2"/>
          </rPr>
          <t>Total Grants for all years listed in LOCCS</t>
        </r>
        <r>
          <rPr>
            <sz val="8"/>
            <color indexed="81"/>
            <rFont val="Tahoma"/>
            <family val="2"/>
          </rPr>
          <t xml:space="preserve">
</t>
        </r>
      </text>
    </comment>
    <comment ref="C2" authorId="0" shapeId="0" xr:uid="{7BACC504-E5F9-4816-A600-DD477CD5CBD3}">
      <text>
        <r>
          <rPr>
            <b/>
            <sz val="8"/>
            <color indexed="81"/>
            <rFont val="Tahoma"/>
            <family val="2"/>
          </rPr>
          <t>Total expenditures for all grant years recorded in LOCCS</t>
        </r>
        <r>
          <rPr>
            <sz val="8"/>
            <color indexed="81"/>
            <rFont val="Tahoma"/>
            <family val="2"/>
          </rPr>
          <t xml:space="preserve">
</t>
        </r>
      </text>
    </comment>
    <comment ref="D2" authorId="0" shapeId="0" xr:uid="{B7AE854A-9D79-4F89-8142-DF344535F129}">
      <text>
        <r>
          <rPr>
            <b/>
            <sz val="8"/>
            <color indexed="81"/>
            <rFont val="Tahoma"/>
            <family val="2"/>
          </rPr>
          <t>Column B minus Column C
Calculated from LOCCS data (all grants less all expenditures)</t>
        </r>
      </text>
    </comment>
    <comment ref="E2" authorId="0" shapeId="0" xr:uid="{9D089B6E-6D48-4459-AB5A-BF8DDA55A03D}">
      <text>
        <r>
          <rPr>
            <b/>
            <sz val="8"/>
            <color indexed="81"/>
            <rFont val="Tahoma"/>
            <family val="2"/>
          </rPr>
          <t>Total of previous 12 months expenditures recorded in LOCCS</t>
        </r>
      </text>
    </comment>
    <comment ref="F2" authorId="0" shapeId="0" xr:uid="{542E3B9A-DBE4-4D73-BB15-7F08E34E85E5}">
      <text>
        <r>
          <rPr>
            <b/>
            <sz val="8"/>
            <color indexed="81"/>
            <rFont val="Tahoma"/>
            <family val="2"/>
          </rPr>
          <t xml:space="preserve">
As shown in LOCCS</t>
        </r>
      </text>
    </comment>
    <comment ref="G2" authorId="0" shapeId="0" xr:uid="{6FAFD5CB-49D6-483D-B118-65829DD051C3}">
      <text>
        <r>
          <rPr>
            <b/>
            <sz val="8"/>
            <color indexed="81"/>
            <rFont val="Tahoma"/>
            <family val="2"/>
          </rPr>
          <t>Column D divided by Column F
Indicates # of years of funds available in terms of latest grant amt.</t>
        </r>
      </text>
    </comment>
    <comment ref="H2" authorId="0" shapeId="0" xr:uid="{6164B445-8150-458A-9538-4A2EA2500777}">
      <text>
        <r>
          <rPr>
            <b/>
            <sz val="8"/>
            <color indexed="81"/>
            <rFont val="Tahoma"/>
            <family val="2"/>
          </rPr>
          <t>Column E divided by Column F
This draw-down rate should be 1 or more to avoid increasing balances.</t>
        </r>
      </text>
    </comment>
    <comment ref="I2" authorId="0" shapeId="0" xr:uid="{99BDDAC6-C2F4-4FD1-8116-2985BFBDF8EE}">
      <text>
        <r>
          <rPr>
            <b/>
            <sz val="8"/>
            <color indexed="81"/>
            <rFont val="Tahoma"/>
            <family val="2"/>
          </rPr>
          <t>Column E divided by 12
Indicates average dollar amount spent each of the last 12 months.</t>
        </r>
      </text>
    </comment>
    <comment ref="J2" authorId="0" shapeId="0" xr:uid="{D7F5C97B-4DF6-4D46-8636-3B606DBF54B0}">
      <text>
        <r>
          <rPr>
            <b/>
            <sz val="8"/>
            <color indexed="81"/>
            <rFont val="Tahoma"/>
            <family val="2"/>
          </rPr>
          <t>Indicates the number of months remaining until 60 days before end of current Program Year.</t>
        </r>
      </text>
    </comment>
    <comment ref="K2" authorId="0" shapeId="0" xr:uid="{C290901C-1868-422F-93CD-8DBF28C7B051}">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6D5A606B-90C1-4640-86D4-506708C80758}">
      <text>
        <r>
          <rPr>
            <b/>
            <sz val="8"/>
            <color indexed="81"/>
            <rFont val="Tahoma"/>
            <family val="2"/>
          </rPr>
          <t>Monthly expenditure in dollars required to reduce unexpended balance to 2 times most recent grant amount by 60 days prior to end of current Program Year.</t>
        </r>
      </text>
    </comment>
    <comment ref="M2" authorId="0" shapeId="0" xr:uid="{AAD4EDD5-6D2C-4BB1-BBDD-12349240607B}">
      <text>
        <r>
          <rPr>
            <b/>
            <sz val="8"/>
            <color indexed="81"/>
            <rFont val="Tahoma"/>
            <family val="2"/>
          </rPr>
          <t>Monthly expenditure in dollars required to reduce unexpended balance to 2.5 times most recent grant amount by 60 days prior to end of current Program Year.</t>
        </r>
      </text>
    </comment>
    <comment ref="N2" authorId="0" shapeId="0" xr:uid="{66D2F71A-98D3-49CD-9741-28494997CE95}">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289387FA-8596-4928-A6A1-1FE9C4E6356E}">
      <text>
        <r>
          <rPr>
            <b/>
            <sz val="8"/>
            <color indexed="81"/>
            <rFont val="Tahoma"/>
            <family val="2"/>
          </rPr>
          <t xml:space="preserve">Starting date for the State's current Program Year
</t>
        </r>
      </text>
    </comment>
    <comment ref="P2" authorId="0" shapeId="0" xr:uid="{7A2F8E24-14B6-43BC-9E5C-B5A33E61B6A7}">
      <text>
        <r>
          <rPr>
            <b/>
            <sz val="8"/>
            <color indexed="81"/>
            <rFont val="Tahoma"/>
            <family val="2"/>
          </rPr>
          <t>Column C minus prior month's Column C
Calculated from LOCCS data (all expenditures less all expenditures thru prior month)</t>
        </r>
      </text>
    </comment>
    <comment ref="Q2" authorId="0" shapeId="0" xr:uid="{088A1E71-52CE-4319-9A64-18F9C93AF59E}">
      <text>
        <r>
          <rPr>
            <b/>
            <sz val="8"/>
            <color indexed="81"/>
            <rFont val="Tahoma"/>
            <family val="2"/>
          </rPr>
          <t>Month when the most recent grant amount changed in LOCCS.  If change occurred outside range, cell indicates "over 18 months ago".</t>
        </r>
      </text>
    </comment>
    <comment ref="N5" authorId="1" shapeId="0" xr:uid="{F52675EB-B20C-4111-8368-1C1B5671AB0A}">
      <text>
        <r>
          <rPr>
            <sz val="8"/>
            <color indexed="81"/>
            <rFont val="Tahoma"/>
            <family val="2"/>
          </rPr>
          <t xml:space="preserve">State changed PY start to July 1 for 2010 PY. 
PY 2009 extended to 18 months (1 Jan '09 - 30 Jun '10).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8C8B2E2A-4073-4147-AE5A-67D40A27B425}">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2FF89D4E-020A-4D9B-8609-53CF5270D6D5}">
      <text>
        <r>
          <rPr>
            <b/>
            <sz val="8"/>
            <color indexed="81"/>
            <rFont val="Tahoma"/>
            <family val="2"/>
          </rPr>
          <t>Total Grants for all years listed in LOCCS</t>
        </r>
        <r>
          <rPr>
            <sz val="8"/>
            <color indexed="81"/>
            <rFont val="Tahoma"/>
            <family val="2"/>
          </rPr>
          <t xml:space="preserve">
</t>
        </r>
      </text>
    </comment>
    <comment ref="C2" authorId="0" shapeId="0" xr:uid="{3488117D-2BC9-4B26-85BA-BAFE2B9620FB}">
      <text>
        <r>
          <rPr>
            <b/>
            <sz val="8"/>
            <color indexed="81"/>
            <rFont val="Tahoma"/>
            <family val="2"/>
          </rPr>
          <t>Total expenditures for all grant years recorded in LOCCS</t>
        </r>
        <r>
          <rPr>
            <sz val="8"/>
            <color indexed="81"/>
            <rFont val="Tahoma"/>
            <family val="2"/>
          </rPr>
          <t xml:space="preserve">
</t>
        </r>
      </text>
    </comment>
    <comment ref="D2" authorId="0" shapeId="0" xr:uid="{2075AE17-4756-41AD-BBAE-31790C40BC7F}">
      <text>
        <r>
          <rPr>
            <b/>
            <sz val="8"/>
            <color indexed="81"/>
            <rFont val="Tahoma"/>
            <family val="2"/>
          </rPr>
          <t>Column B minus Column C
Calculated from LOCCS data (all grants less all expenditures)</t>
        </r>
      </text>
    </comment>
    <comment ref="E2" authorId="0" shapeId="0" xr:uid="{6F17D233-958C-4348-9CE8-ECF7B8E143B2}">
      <text>
        <r>
          <rPr>
            <b/>
            <sz val="8"/>
            <color indexed="81"/>
            <rFont val="Tahoma"/>
            <family val="2"/>
          </rPr>
          <t>Total of previous 12 months expenditures recorded in LOCCS</t>
        </r>
      </text>
    </comment>
    <comment ref="F2" authorId="0" shapeId="0" xr:uid="{B9D7776B-9B86-4557-9BF7-A1CF2D851D33}">
      <text>
        <r>
          <rPr>
            <b/>
            <sz val="8"/>
            <color indexed="81"/>
            <rFont val="Tahoma"/>
            <family val="2"/>
          </rPr>
          <t xml:space="preserve">
As shown in LOCCS</t>
        </r>
      </text>
    </comment>
    <comment ref="G2" authorId="0" shapeId="0" xr:uid="{BFBBC0A3-F795-4B59-8EA6-C23522CE27BA}">
      <text>
        <r>
          <rPr>
            <b/>
            <sz val="8"/>
            <color indexed="81"/>
            <rFont val="Tahoma"/>
            <family val="2"/>
          </rPr>
          <t>Column D divided by Column F
Indicates # of years of funds available in terms of latest grant amt.</t>
        </r>
      </text>
    </comment>
    <comment ref="H2" authorId="0" shapeId="0" xr:uid="{EEA8D83B-7270-4FA5-8E52-BD2B51232201}">
      <text>
        <r>
          <rPr>
            <b/>
            <sz val="8"/>
            <color indexed="81"/>
            <rFont val="Tahoma"/>
            <family val="2"/>
          </rPr>
          <t>Column E divided by Column F
This draw-down rate should be 1 or more to avoid increasing balances.</t>
        </r>
      </text>
    </comment>
    <comment ref="I2" authorId="0" shapeId="0" xr:uid="{394C4DF4-C5BC-4995-99B3-EEA337A2AC68}">
      <text>
        <r>
          <rPr>
            <b/>
            <sz val="8"/>
            <color indexed="81"/>
            <rFont val="Tahoma"/>
            <family val="2"/>
          </rPr>
          <t>Column E divided by 12
Indicates average dollar amount spent each of the last 12 months.</t>
        </r>
      </text>
    </comment>
    <comment ref="J2" authorId="0" shapeId="0" xr:uid="{D0D9E6B7-521D-4E6D-A0A8-96C0ACF16339}">
      <text>
        <r>
          <rPr>
            <b/>
            <sz val="8"/>
            <color indexed="81"/>
            <rFont val="Tahoma"/>
            <family val="2"/>
          </rPr>
          <t>Indicates the number of months remaining until 60 days before end of current Program Year.</t>
        </r>
      </text>
    </comment>
    <comment ref="K2" authorId="0" shapeId="0" xr:uid="{BE5BC043-1D76-45C7-A1DB-1D705984C475}">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A9072EE9-2E39-4F33-A902-F1074ABDEA7B}">
      <text>
        <r>
          <rPr>
            <b/>
            <sz val="8"/>
            <color indexed="81"/>
            <rFont val="Tahoma"/>
            <family val="2"/>
          </rPr>
          <t>Monthly expenditure in dollars required to reduce unexpended balance to 2 times most recent grant amount by 60 days prior to end of current Program Year.</t>
        </r>
      </text>
    </comment>
    <comment ref="M2" authorId="0" shapeId="0" xr:uid="{62B120FF-FAA2-4C82-BCC0-7C1D5E662A01}">
      <text>
        <r>
          <rPr>
            <b/>
            <sz val="8"/>
            <color indexed="81"/>
            <rFont val="Tahoma"/>
            <family val="2"/>
          </rPr>
          <t>Monthly expenditure in dollars required to reduce unexpended balance to 2.5 times most recent grant amount by 60 days prior to end of current Program Year.</t>
        </r>
      </text>
    </comment>
    <comment ref="N2" authorId="0" shapeId="0" xr:uid="{0DCC1268-D69E-4CF4-8999-B70214D9E3FB}">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B526BD21-12C6-436D-BB6B-9141B1F57F77}">
      <text>
        <r>
          <rPr>
            <b/>
            <sz val="8"/>
            <color indexed="81"/>
            <rFont val="Tahoma"/>
            <family val="2"/>
          </rPr>
          <t xml:space="preserve">Starting date for the State's current Program Year
</t>
        </r>
      </text>
    </comment>
    <comment ref="P2" authorId="0" shapeId="0" xr:uid="{965E88BD-11B0-442A-879A-434AFC1F3C44}">
      <text>
        <r>
          <rPr>
            <b/>
            <sz val="8"/>
            <color indexed="81"/>
            <rFont val="Tahoma"/>
            <family val="2"/>
          </rPr>
          <t>Column C minus prior month's Column C
Calculated from LOCCS data (all expenditures less all expenditures thru prior month)</t>
        </r>
      </text>
    </comment>
    <comment ref="Q2" authorId="0" shapeId="0" xr:uid="{39D53506-A375-4BF9-80F8-B41C0DFBBF1E}">
      <text>
        <r>
          <rPr>
            <b/>
            <sz val="8"/>
            <color indexed="81"/>
            <rFont val="Tahoma"/>
            <family val="2"/>
          </rPr>
          <t>Month when the most recent grant amount changed in LOCCS.  If change occurred outside range, cell indicates "over 18 months ago".</t>
        </r>
      </text>
    </comment>
    <comment ref="N5" authorId="1" shapeId="0" xr:uid="{16BFB027-BFFB-43AD-B113-36481AEFCAAD}">
      <text>
        <r>
          <rPr>
            <sz val="8"/>
            <color indexed="81"/>
            <rFont val="Tahoma"/>
            <family val="2"/>
          </rPr>
          <t xml:space="preserve">State changed PY start to July 1 for 2010 PY. 
PY 2009 extended to 18 months (1 Jan '09 - 30 Jun '10).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E49C872D-1D0A-4B5A-B129-BD1C06875CB4}">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0A7CB21C-0A4F-4C78-99EB-81D62959E48F}">
      <text>
        <r>
          <rPr>
            <b/>
            <sz val="8"/>
            <color indexed="81"/>
            <rFont val="Tahoma"/>
            <family val="2"/>
          </rPr>
          <t>Total Grants for all years listed in LOCCS</t>
        </r>
        <r>
          <rPr>
            <sz val="8"/>
            <color indexed="81"/>
            <rFont val="Tahoma"/>
            <family val="2"/>
          </rPr>
          <t xml:space="preserve">
</t>
        </r>
      </text>
    </comment>
    <comment ref="C2" authorId="0" shapeId="0" xr:uid="{8D748558-0567-4580-BFE6-484920B1967E}">
      <text>
        <r>
          <rPr>
            <b/>
            <sz val="8"/>
            <color indexed="81"/>
            <rFont val="Tahoma"/>
            <family val="2"/>
          </rPr>
          <t>Total expenditures for all grant years recorded in LOCCS</t>
        </r>
        <r>
          <rPr>
            <sz val="8"/>
            <color indexed="81"/>
            <rFont val="Tahoma"/>
            <family val="2"/>
          </rPr>
          <t xml:space="preserve">
</t>
        </r>
      </text>
    </comment>
    <comment ref="D2" authorId="0" shapeId="0" xr:uid="{7DEA758C-A20C-4672-BA5F-37B17A503412}">
      <text>
        <r>
          <rPr>
            <b/>
            <sz val="8"/>
            <color indexed="81"/>
            <rFont val="Tahoma"/>
            <family val="2"/>
          </rPr>
          <t>Column B minus Column C
Calculated from LOCCS data (all grants less all expenditures)</t>
        </r>
      </text>
    </comment>
    <comment ref="E2" authorId="0" shapeId="0" xr:uid="{19259E78-D632-4ABE-BF86-C7EAF5E4031B}">
      <text>
        <r>
          <rPr>
            <b/>
            <sz val="8"/>
            <color indexed="81"/>
            <rFont val="Tahoma"/>
            <family val="2"/>
          </rPr>
          <t>Total of previous 12 months expenditures recorded in LOCCS</t>
        </r>
      </text>
    </comment>
    <comment ref="F2" authorId="0" shapeId="0" xr:uid="{DC496A2D-3BAA-47BC-9848-44E886E8ADB2}">
      <text>
        <r>
          <rPr>
            <b/>
            <sz val="8"/>
            <color indexed="81"/>
            <rFont val="Tahoma"/>
            <family val="2"/>
          </rPr>
          <t xml:space="preserve">
As shown in LOCCS</t>
        </r>
      </text>
    </comment>
    <comment ref="G2" authorId="0" shapeId="0" xr:uid="{793C3028-96D2-47FC-B6C0-FA69925BB197}">
      <text>
        <r>
          <rPr>
            <b/>
            <sz val="8"/>
            <color indexed="81"/>
            <rFont val="Tahoma"/>
            <family val="2"/>
          </rPr>
          <t>Column D divided by Column F
Indicates # of years of funds available in terms of latest grant amt.</t>
        </r>
      </text>
    </comment>
    <comment ref="H2" authorId="0" shapeId="0" xr:uid="{E62C9A1B-7370-49DF-B046-BB553401DB69}">
      <text>
        <r>
          <rPr>
            <b/>
            <sz val="8"/>
            <color indexed="81"/>
            <rFont val="Tahoma"/>
            <family val="2"/>
          </rPr>
          <t>Column E divided by Column F
This draw-down rate should be 1 or more to avoid increasing balances.</t>
        </r>
      </text>
    </comment>
    <comment ref="I2" authorId="0" shapeId="0" xr:uid="{D29024CC-4719-452B-B8F9-C83086C4CAA9}">
      <text>
        <r>
          <rPr>
            <b/>
            <sz val="8"/>
            <color indexed="81"/>
            <rFont val="Tahoma"/>
            <family val="2"/>
          </rPr>
          <t>Column E divided by 12
Indicates average dollar amount spent each of the last 12 months.</t>
        </r>
      </text>
    </comment>
    <comment ref="J2" authorId="0" shapeId="0" xr:uid="{D62D0BBD-A9B4-4532-B28C-4D058175DD02}">
      <text>
        <r>
          <rPr>
            <b/>
            <sz val="8"/>
            <color indexed="81"/>
            <rFont val="Tahoma"/>
            <family val="2"/>
          </rPr>
          <t>Indicates the number of months remaining until 60 days before end of current Program Year.</t>
        </r>
      </text>
    </comment>
    <comment ref="K2" authorId="0" shapeId="0" xr:uid="{610BFF7B-67B6-44E2-8C5E-5B58046EC234}">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E02EAAEE-DBA3-4BCB-A0BE-4E8DF24466D7}">
      <text>
        <r>
          <rPr>
            <b/>
            <sz val="8"/>
            <color indexed="81"/>
            <rFont val="Tahoma"/>
            <family val="2"/>
          </rPr>
          <t>Monthly expenditure in dollars required to reduce unexpended balance to 2 times most recent grant amount by 60 days prior to end of current Program Year.</t>
        </r>
      </text>
    </comment>
    <comment ref="M2" authorId="0" shapeId="0" xr:uid="{93C5F562-3443-4D36-82B7-8E766F4A51FC}">
      <text>
        <r>
          <rPr>
            <b/>
            <sz val="8"/>
            <color indexed="81"/>
            <rFont val="Tahoma"/>
            <family val="2"/>
          </rPr>
          <t>Monthly expenditure in dollars required to reduce unexpended balance to 2.5 times most recent grant amount by 60 days prior to end of current Program Year.</t>
        </r>
      </text>
    </comment>
    <comment ref="N2" authorId="0" shapeId="0" xr:uid="{AF677075-3A48-4904-AD52-BD814E67B55D}">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E5FA67A0-AD97-4066-BC05-3C902AEC1565}">
      <text>
        <r>
          <rPr>
            <b/>
            <sz val="8"/>
            <color indexed="81"/>
            <rFont val="Tahoma"/>
            <family val="2"/>
          </rPr>
          <t xml:space="preserve">Starting date for the State's current Program Year
</t>
        </r>
      </text>
    </comment>
    <comment ref="P2" authorId="0" shapeId="0" xr:uid="{0F121A36-DB03-454F-B0AC-BC22FFA36B44}">
      <text>
        <r>
          <rPr>
            <b/>
            <sz val="8"/>
            <color indexed="81"/>
            <rFont val="Tahoma"/>
            <family val="2"/>
          </rPr>
          <t>Column C minus prior month's Column C
Calculated from LOCCS data (all expenditures less all expenditures thru prior month)</t>
        </r>
      </text>
    </comment>
    <comment ref="Q2" authorId="0" shapeId="0" xr:uid="{10D8DA5C-2652-4D89-9B22-BE36481682E9}">
      <text>
        <r>
          <rPr>
            <b/>
            <sz val="8"/>
            <color indexed="81"/>
            <rFont val="Tahoma"/>
            <family val="2"/>
          </rPr>
          <t>Month when the most recent grant amount changed in LOCCS.  If change occurred outside range, cell indicates "over 18 months ago".</t>
        </r>
      </text>
    </comment>
    <comment ref="N7" authorId="1" shapeId="0" xr:uid="{9B4DA28D-DAD8-422B-8574-799C664E4EB1}">
      <text>
        <r>
          <rPr>
            <sz val="8"/>
            <color indexed="81"/>
            <rFont val="Tahoma"/>
            <family val="2"/>
          </rPr>
          <t xml:space="preserve">State changed PY start to July 1 for 2010 PY. 
PY 2009 extended to 18 months (1 Jan '09 - 30 Jun '10).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9596F8EB-BBDD-4B87-B86A-8ED5ED6A06D3}">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E0DE4779-EDA7-4917-BBC1-7E9BEC51513D}">
      <text>
        <r>
          <rPr>
            <b/>
            <sz val="8"/>
            <color indexed="81"/>
            <rFont val="Tahoma"/>
            <family val="2"/>
          </rPr>
          <t>Total Grants for all years listed in LOCCS</t>
        </r>
        <r>
          <rPr>
            <sz val="8"/>
            <color indexed="81"/>
            <rFont val="Tahoma"/>
            <family val="2"/>
          </rPr>
          <t xml:space="preserve">
</t>
        </r>
      </text>
    </comment>
    <comment ref="C2" authorId="0" shapeId="0" xr:uid="{1C69EE73-E10D-4A54-A689-14A2831D841C}">
      <text>
        <r>
          <rPr>
            <b/>
            <sz val="8"/>
            <color indexed="81"/>
            <rFont val="Tahoma"/>
            <family val="2"/>
          </rPr>
          <t>Total expenditures for all grant years recorded in LOCCS</t>
        </r>
        <r>
          <rPr>
            <sz val="8"/>
            <color indexed="81"/>
            <rFont val="Tahoma"/>
            <family val="2"/>
          </rPr>
          <t xml:space="preserve">
</t>
        </r>
      </text>
    </comment>
    <comment ref="D2" authorId="0" shapeId="0" xr:uid="{152D7D75-0ABF-416E-A494-EEF8DF2F74DE}">
      <text>
        <r>
          <rPr>
            <b/>
            <sz val="8"/>
            <color indexed="81"/>
            <rFont val="Tahoma"/>
            <family val="2"/>
          </rPr>
          <t>Column B minus Column C
Calculated from LOCCS data (all grants less all expenditures)</t>
        </r>
      </text>
    </comment>
    <comment ref="E2" authorId="0" shapeId="0" xr:uid="{64879C14-A507-4A8C-A908-36592D125899}">
      <text>
        <r>
          <rPr>
            <b/>
            <sz val="8"/>
            <color indexed="81"/>
            <rFont val="Tahoma"/>
            <family val="2"/>
          </rPr>
          <t>Total of previous 12 months expenditures recorded in LOCCS</t>
        </r>
      </text>
    </comment>
    <comment ref="F2" authorId="0" shapeId="0" xr:uid="{3B776042-1067-4390-8BAD-7FB3CF101E7C}">
      <text>
        <r>
          <rPr>
            <b/>
            <sz val="8"/>
            <color indexed="81"/>
            <rFont val="Tahoma"/>
            <family val="2"/>
          </rPr>
          <t xml:space="preserve">
As shown in LOCCS</t>
        </r>
      </text>
    </comment>
    <comment ref="G2" authorId="0" shapeId="0" xr:uid="{72F772E3-D019-4BF3-960B-447C7DED32C1}">
      <text>
        <r>
          <rPr>
            <b/>
            <sz val="8"/>
            <color indexed="81"/>
            <rFont val="Tahoma"/>
            <family val="2"/>
          </rPr>
          <t>Column D divided by Column F
Indicates # of years of funds available in terms of latest grant amt.</t>
        </r>
      </text>
    </comment>
    <comment ref="H2" authorId="0" shapeId="0" xr:uid="{BF493E68-DF22-49D4-B6B6-F495BD5E60B9}">
      <text>
        <r>
          <rPr>
            <b/>
            <sz val="8"/>
            <color indexed="81"/>
            <rFont val="Tahoma"/>
            <family val="2"/>
          </rPr>
          <t>Column E divided by Column F
This draw-down rate should be 1 or more to avoid increasing balances.</t>
        </r>
      </text>
    </comment>
    <comment ref="I2" authorId="0" shapeId="0" xr:uid="{0E774CB2-4F47-4338-94CB-3317F314D1BB}">
      <text>
        <r>
          <rPr>
            <b/>
            <sz val="8"/>
            <color indexed="81"/>
            <rFont val="Tahoma"/>
            <family val="2"/>
          </rPr>
          <t>Column E divided by 12
Indicates average dollar amount spent each of the last 12 months.</t>
        </r>
      </text>
    </comment>
    <comment ref="J2" authorId="0" shapeId="0" xr:uid="{81FDC726-99CC-4F8F-95AC-B04614277403}">
      <text>
        <r>
          <rPr>
            <b/>
            <sz val="8"/>
            <color indexed="81"/>
            <rFont val="Tahoma"/>
            <family val="2"/>
          </rPr>
          <t>Indicates the number of months remaining until 60 days before end of current Program Year.</t>
        </r>
      </text>
    </comment>
    <comment ref="K2" authorId="0" shapeId="0" xr:uid="{33E33C14-83FA-4148-9D17-49D09B75673F}">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302DB44A-ECF6-46D1-A7B4-8EED2F9B4496}">
      <text>
        <r>
          <rPr>
            <b/>
            <sz val="8"/>
            <color indexed="81"/>
            <rFont val="Tahoma"/>
            <family val="2"/>
          </rPr>
          <t>Monthly expenditure in dollars required to reduce unexpended balance to 2 times most recent grant amount by 60 days prior to end of current Program Year.</t>
        </r>
      </text>
    </comment>
    <comment ref="M2" authorId="0" shapeId="0" xr:uid="{95075E19-5223-4140-A1E8-98B7BD4B59F8}">
      <text>
        <r>
          <rPr>
            <b/>
            <sz val="8"/>
            <color indexed="81"/>
            <rFont val="Tahoma"/>
            <family val="2"/>
          </rPr>
          <t>Monthly expenditure in dollars required to reduce unexpended balance to 2.5 times most recent grant amount by 60 days prior to end of current Program Year.</t>
        </r>
      </text>
    </comment>
    <comment ref="N2" authorId="0" shapeId="0" xr:uid="{70566033-DCC0-4A09-98B5-19F2FFCE17C9}">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647FCEB1-0A05-4D53-A817-1F418858F646}">
      <text>
        <r>
          <rPr>
            <b/>
            <sz val="8"/>
            <color indexed="81"/>
            <rFont val="Tahoma"/>
            <family val="2"/>
          </rPr>
          <t xml:space="preserve">Starting date for the State's current Program Year
</t>
        </r>
      </text>
    </comment>
    <comment ref="P2" authorId="0" shapeId="0" xr:uid="{4BEB748A-1F62-4D1C-85D5-CA5A2BD4E361}">
      <text>
        <r>
          <rPr>
            <b/>
            <sz val="8"/>
            <color indexed="81"/>
            <rFont val="Tahoma"/>
            <family val="2"/>
          </rPr>
          <t>Column C minus prior month's Column C
Calculated from LOCCS data (all expenditures less all expenditures thru prior month)</t>
        </r>
      </text>
    </comment>
    <comment ref="Q2" authorId="0" shapeId="0" xr:uid="{745A6596-8D90-414D-AE21-29DAA6E343D8}">
      <text>
        <r>
          <rPr>
            <b/>
            <sz val="8"/>
            <color indexed="81"/>
            <rFont val="Tahoma"/>
            <family val="2"/>
          </rPr>
          <t>Month when the most recent grant amount changed in LOCCS.  If change occurred outside range, cell indicates "over 18 months ago".</t>
        </r>
      </text>
    </comment>
    <comment ref="N5" authorId="1" shapeId="0" xr:uid="{FFC6828A-52A5-43E1-9002-68677D8520C8}">
      <text>
        <r>
          <rPr>
            <sz val="8"/>
            <color indexed="81"/>
            <rFont val="Tahoma"/>
            <family val="2"/>
          </rPr>
          <t xml:space="preserve">State changed PY start to July 1 for 2010 PY. 
PY 2009 extended to 18 months (1 Jan '09 - 30 Jun '10).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87919294-87A9-493B-87EC-D5C1666021B2}">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936B96F4-9C7D-46A5-A4FE-E3B55284ECBD}">
      <text>
        <r>
          <rPr>
            <b/>
            <sz val="8"/>
            <color indexed="81"/>
            <rFont val="Tahoma"/>
            <family val="2"/>
          </rPr>
          <t>Total Grants for all years listed in LOCCS</t>
        </r>
        <r>
          <rPr>
            <sz val="8"/>
            <color indexed="81"/>
            <rFont val="Tahoma"/>
            <family val="2"/>
          </rPr>
          <t xml:space="preserve">
</t>
        </r>
      </text>
    </comment>
    <comment ref="C2" authorId="0" shapeId="0" xr:uid="{786E4516-1004-4F31-AB16-93F539D9BF5B}">
      <text>
        <r>
          <rPr>
            <b/>
            <sz val="8"/>
            <color indexed="81"/>
            <rFont val="Tahoma"/>
            <family val="2"/>
          </rPr>
          <t>Total expenditures for all grant years recorded in LOCCS</t>
        </r>
        <r>
          <rPr>
            <sz val="8"/>
            <color indexed="81"/>
            <rFont val="Tahoma"/>
            <family val="2"/>
          </rPr>
          <t xml:space="preserve">
</t>
        </r>
      </text>
    </comment>
    <comment ref="D2" authorId="0" shapeId="0" xr:uid="{8C4CD2D5-7106-467B-92E9-5A30F7B3F459}">
      <text>
        <r>
          <rPr>
            <b/>
            <sz val="8"/>
            <color indexed="81"/>
            <rFont val="Tahoma"/>
            <family val="2"/>
          </rPr>
          <t>Column B minus Column C
Calculated from LOCCS data (all grants less all expenditures)</t>
        </r>
      </text>
    </comment>
    <comment ref="E2" authorId="0" shapeId="0" xr:uid="{A01E1414-38F0-4693-AC1C-8FD71BE05C76}">
      <text>
        <r>
          <rPr>
            <b/>
            <sz val="8"/>
            <color indexed="81"/>
            <rFont val="Tahoma"/>
            <family val="2"/>
          </rPr>
          <t>Total of previous 12 months expenditures recorded in LOCCS</t>
        </r>
      </text>
    </comment>
    <comment ref="F2" authorId="0" shapeId="0" xr:uid="{98E199B3-D664-4908-B6E0-7717DB1154EA}">
      <text>
        <r>
          <rPr>
            <b/>
            <sz val="8"/>
            <color indexed="81"/>
            <rFont val="Tahoma"/>
            <family val="2"/>
          </rPr>
          <t xml:space="preserve">
As shown in LOCCS</t>
        </r>
      </text>
    </comment>
    <comment ref="G2" authorId="0" shapeId="0" xr:uid="{A2D83AF1-F207-4BBE-8D6A-323377F38CD5}">
      <text>
        <r>
          <rPr>
            <b/>
            <sz val="8"/>
            <color indexed="81"/>
            <rFont val="Tahoma"/>
            <family val="2"/>
          </rPr>
          <t>Column D divided by Column F
Indicates # of years of funds available in terms of latest grant amt.</t>
        </r>
      </text>
    </comment>
    <comment ref="H2" authorId="0" shapeId="0" xr:uid="{90101F12-CA38-423B-A196-AED8FB6910C5}">
      <text>
        <r>
          <rPr>
            <b/>
            <sz val="8"/>
            <color indexed="81"/>
            <rFont val="Tahoma"/>
            <family val="2"/>
          </rPr>
          <t>Column E divided by Column F
This draw-down rate should be 1 or more to avoid increasing balances.</t>
        </r>
      </text>
    </comment>
    <comment ref="I2" authorId="0" shapeId="0" xr:uid="{1599F008-E2B9-4D27-981D-10AAC9627087}">
      <text>
        <r>
          <rPr>
            <b/>
            <sz val="8"/>
            <color indexed="81"/>
            <rFont val="Tahoma"/>
            <family val="2"/>
          </rPr>
          <t>Column E divided by 12
Indicates average dollar amount spent each of the last 12 months.</t>
        </r>
      </text>
    </comment>
    <comment ref="J2" authorId="0" shapeId="0" xr:uid="{05316F12-66C9-4B73-8238-7122B9396F81}">
      <text>
        <r>
          <rPr>
            <b/>
            <sz val="8"/>
            <color indexed="81"/>
            <rFont val="Tahoma"/>
            <family val="2"/>
          </rPr>
          <t>Indicates the number of months remaining until 60 days before end of current Program Year.</t>
        </r>
      </text>
    </comment>
    <comment ref="K2" authorId="0" shapeId="0" xr:uid="{3B1A8EAE-280B-4B4E-A3ED-63192538DC17}">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78827070-A6CC-4CF7-87F0-D9F50741A673}">
      <text>
        <r>
          <rPr>
            <b/>
            <sz val="8"/>
            <color indexed="81"/>
            <rFont val="Tahoma"/>
            <family val="2"/>
          </rPr>
          <t>Monthly expenditure in dollars required to reduce unexpended balance to 2 times most recent grant amount by 60 days prior to end of current Program Year.</t>
        </r>
      </text>
    </comment>
    <comment ref="M2" authorId="0" shapeId="0" xr:uid="{26D2D564-9214-4E99-BD7B-E139E541E521}">
      <text>
        <r>
          <rPr>
            <b/>
            <sz val="8"/>
            <color indexed="81"/>
            <rFont val="Tahoma"/>
            <family val="2"/>
          </rPr>
          <t>Monthly expenditure in dollars required to reduce unexpended balance to 2.5 times most recent grant amount by 60 days prior to end of current Program Year.</t>
        </r>
      </text>
    </comment>
    <comment ref="N2" authorId="0" shapeId="0" xr:uid="{D7FC3331-B902-41C5-82DD-9F94657E7A88}">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A208DC28-FD2C-43F1-802D-F1368488E382}">
      <text>
        <r>
          <rPr>
            <b/>
            <sz val="8"/>
            <color indexed="81"/>
            <rFont val="Tahoma"/>
            <family val="2"/>
          </rPr>
          <t xml:space="preserve">Starting date for the State's current Program Year
</t>
        </r>
      </text>
    </comment>
    <comment ref="P2" authorId="0" shapeId="0" xr:uid="{8FAB2FE1-07EC-435C-9946-23B5AC92EA66}">
      <text>
        <r>
          <rPr>
            <b/>
            <sz val="8"/>
            <color indexed="81"/>
            <rFont val="Tahoma"/>
            <family val="2"/>
          </rPr>
          <t>Column C minus prior month's Column C
Calculated from LOCCS data (all expenditures less all expenditures thru prior month)</t>
        </r>
      </text>
    </comment>
    <comment ref="Q2" authorId="0" shapeId="0" xr:uid="{2F9D08D5-D695-42E7-BB02-D04FDBE4C74C}">
      <text>
        <r>
          <rPr>
            <b/>
            <sz val="8"/>
            <color indexed="81"/>
            <rFont val="Tahoma"/>
            <family val="2"/>
          </rPr>
          <t>Month when the most recent grant amount changed in LOCCS.  If change occurred outside range, cell indicates "over 18 months ago".</t>
        </r>
      </text>
    </comment>
    <comment ref="N5" authorId="1" shapeId="0" xr:uid="{A1F08244-BB06-4276-9A46-39411CA13B65}">
      <text>
        <r>
          <rPr>
            <sz val="8"/>
            <color indexed="81"/>
            <rFont val="Tahoma"/>
            <family val="2"/>
          </rPr>
          <t xml:space="preserve">State changed PY start to July 1 for 2010 PY. 
PY 2009 extended to 18 months (1 Jan '09 - 30 Jun '10).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09640585-AE26-49D1-9CE3-8DA4AB791469}">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854F1A14-E0C8-4047-BF32-962123D816EC}">
      <text>
        <r>
          <rPr>
            <b/>
            <sz val="8"/>
            <color indexed="81"/>
            <rFont val="Tahoma"/>
            <family val="2"/>
          </rPr>
          <t>Total Grants for all years listed in LOCCS</t>
        </r>
        <r>
          <rPr>
            <sz val="8"/>
            <color indexed="81"/>
            <rFont val="Tahoma"/>
            <family val="2"/>
          </rPr>
          <t xml:space="preserve">
</t>
        </r>
      </text>
    </comment>
    <comment ref="C2" authorId="0" shapeId="0" xr:uid="{B153561E-CAAE-41B7-8055-F71BC87EC273}">
      <text>
        <r>
          <rPr>
            <b/>
            <sz val="8"/>
            <color indexed="81"/>
            <rFont val="Tahoma"/>
            <family val="2"/>
          </rPr>
          <t>Total expenditures for all grant years recorded in LOCCS</t>
        </r>
        <r>
          <rPr>
            <sz val="8"/>
            <color indexed="81"/>
            <rFont val="Tahoma"/>
            <family val="2"/>
          </rPr>
          <t xml:space="preserve">
</t>
        </r>
      </text>
    </comment>
    <comment ref="D2" authorId="0" shapeId="0" xr:uid="{ABB515D8-67C5-49C7-B17D-531B26003A0E}">
      <text>
        <r>
          <rPr>
            <b/>
            <sz val="8"/>
            <color indexed="81"/>
            <rFont val="Tahoma"/>
            <family val="2"/>
          </rPr>
          <t>Column B minus Column C
Calculated from LOCCS data (all grants less all expenditures)</t>
        </r>
      </text>
    </comment>
    <comment ref="E2" authorId="0" shapeId="0" xr:uid="{77E16FC5-CA61-4202-9464-E43969AB6B99}">
      <text>
        <r>
          <rPr>
            <b/>
            <sz val="8"/>
            <color indexed="81"/>
            <rFont val="Tahoma"/>
            <family val="2"/>
          </rPr>
          <t>Total of previous 12 months expenditures recorded in LOCCS</t>
        </r>
      </text>
    </comment>
    <comment ref="F2" authorId="0" shapeId="0" xr:uid="{024EFB3C-7748-40F2-AE0D-24D28EB0F78B}">
      <text>
        <r>
          <rPr>
            <b/>
            <sz val="8"/>
            <color indexed="81"/>
            <rFont val="Tahoma"/>
            <family val="2"/>
          </rPr>
          <t xml:space="preserve">
As shown in LOCCS</t>
        </r>
      </text>
    </comment>
    <comment ref="G2" authorId="0" shapeId="0" xr:uid="{8791AFB8-24DA-4287-A07C-1FA6F1EA6807}">
      <text>
        <r>
          <rPr>
            <b/>
            <sz val="8"/>
            <color indexed="81"/>
            <rFont val="Tahoma"/>
            <family val="2"/>
          </rPr>
          <t>Column D divided by Column F
Indicates # of years of funds available in terms of latest grant amt.</t>
        </r>
      </text>
    </comment>
    <comment ref="H2" authorId="0" shapeId="0" xr:uid="{612AF8BD-F9CF-49AE-9397-87D3235AE05E}">
      <text>
        <r>
          <rPr>
            <b/>
            <sz val="8"/>
            <color indexed="81"/>
            <rFont val="Tahoma"/>
            <family val="2"/>
          </rPr>
          <t>Column E divided by Column F
This draw-down rate should be 1 or more to avoid increasing balances.</t>
        </r>
      </text>
    </comment>
    <comment ref="I2" authorId="0" shapeId="0" xr:uid="{464947AC-961A-4CA0-9C85-1E205E11DFE9}">
      <text>
        <r>
          <rPr>
            <b/>
            <sz val="8"/>
            <color indexed="81"/>
            <rFont val="Tahoma"/>
            <family val="2"/>
          </rPr>
          <t>Column E divided by 12
Indicates average dollar amount spent each of the last 12 months.</t>
        </r>
      </text>
    </comment>
    <comment ref="J2" authorId="0" shapeId="0" xr:uid="{D6557C10-5534-4594-A481-D723290FA751}">
      <text>
        <r>
          <rPr>
            <b/>
            <sz val="8"/>
            <color indexed="81"/>
            <rFont val="Tahoma"/>
            <family val="2"/>
          </rPr>
          <t>Indicates the number of months remaining until 60 days before end of current Program Year.</t>
        </r>
      </text>
    </comment>
    <comment ref="K2" authorId="0" shapeId="0" xr:uid="{B999228F-CCBC-4CE3-9543-8FE66B650899}">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DB67737A-4BD5-4F32-9760-2C0809F24C85}">
      <text>
        <r>
          <rPr>
            <b/>
            <sz val="8"/>
            <color indexed="81"/>
            <rFont val="Tahoma"/>
            <family val="2"/>
          </rPr>
          <t>Monthly expenditure in dollars required to reduce unexpended balance to 2 times most recent grant amount by 60 days prior to end of current Program Year.</t>
        </r>
      </text>
    </comment>
    <comment ref="M2" authorId="0" shapeId="0" xr:uid="{9AECD9BD-D0D0-47C3-ACC6-A1D5AEB18ECA}">
      <text>
        <r>
          <rPr>
            <b/>
            <sz val="8"/>
            <color indexed="81"/>
            <rFont val="Tahoma"/>
            <family val="2"/>
          </rPr>
          <t>Monthly expenditure in dollars required to reduce unexpended balance to 2.5 times most recent grant amount by 60 days prior to end of current Program Year.</t>
        </r>
      </text>
    </comment>
    <comment ref="N2" authorId="0" shapeId="0" xr:uid="{1279C438-AD56-402E-9ADC-0F1F912F1C9F}">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C0F270FD-3336-4F7E-8E22-A09DAE4021CD}">
      <text>
        <r>
          <rPr>
            <b/>
            <sz val="8"/>
            <color indexed="81"/>
            <rFont val="Tahoma"/>
            <family val="2"/>
          </rPr>
          <t xml:space="preserve">Starting date for the State's current Program Year
</t>
        </r>
      </text>
    </comment>
    <comment ref="P2" authorId="0" shapeId="0" xr:uid="{54CE0666-A5AF-411D-A9A1-279099E53D23}">
      <text>
        <r>
          <rPr>
            <b/>
            <sz val="8"/>
            <color indexed="81"/>
            <rFont val="Tahoma"/>
            <family val="2"/>
          </rPr>
          <t>Column C minus prior month's Column C
Calculated from LOCCS data (all expenditures less all expenditures thru prior month)</t>
        </r>
      </text>
    </comment>
    <comment ref="Q2" authorId="0" shapeId="0" xr:uid="{683A0329-212A-4226-9697-9D9A85DDAF88}">
      <text>
        <r>
          <rPr>
            <b/>
            <sz val="8"/>
            <color indexed="81"/>
            <rFont val="Tahoma"/>
            <family val="2"/>
          </rPr>
          <t>Month when the most recent grant amount changed in LOCCS.  If change occurred outside range, cell indicates "over 18 months ago".</t>
        </r>
      </text>
    </comment>
    <comment ref="N6" authorId="1" shapeId="0" xr:uid="{FF0EBE58-B87E-4FF7-A239-A95CB8A5259D}">
      <text>
        <r>
          <rPr>
            <sz val="8"/>
            <color indexed="81"/>
            <rFont val="Tahoma"/>
            <family val="2"/>
          </rPr>
          <t xml:space="preserve">State changed PY start to July 1 for 2010 PY. 
PY 2009 extended to 18 months (1 Jan '09 - 30 Jun '10).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AA200FE8-2F87-4A7A-926A-DC2F1B6D2E87}">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8A873073-4C9D-43D7-8F5D-DCF55810169F}">
      <text>
        <r>
          <rPr>
            <b/>
            <sz val="8"/>
            <color indexed="81"/>
            <rFont val="Tahoma"/>
            <family val="2"/>
          </rPr>
          <t>Total Grants for all years listed in LOCCS</t>
        </r>
        <r>
          <rPr>
            <sz val="8"/>
            <color indexed="81"/>
            <rFont val="Tahoma"/>
            <family val="2"/>
          </rPr>
          <t xml:space="preserve">
</t>
        </r>
      </text>
    </comment>
    <comment ref="C2" authorId="0" shapeId="0" xr:uid="{8841D22B-F94A-4795-8DC8-D4F8B2F05A9D}">
      <text>
        <r>
          <rPr>
            <b/>
            <sz val="8"/>
            <color indexed="81"/>
            <rFont val="Tahoma"/>
            <family val="2"/>
          </rPr>
          <t>Total expenditures for all grant years recorded in LOCCS</t>
        </r>
        <r>
          <rPr>
            <sz val="8"/>
            <color indexed="81"/>
            <rFont val="Tahoma"/>
            <family val="2"/>
          </rPr>
          <t xml:space="preserve">
</t>
        </r>
      </text>
    </comment>
    <comment ref="D2" authorId="0" shapeId="0" xr:uid="{842CA31B-8533-41C1-8405-2AB5E73D536D}">
      <text>
        <r>
          <rPr>
            <b/>
            <sz val="8"/>
            <color indexed="81"/>
            <rFont val="Tahoma"/>
            <family val="2"/>
          </rPr>
          <t>Column B minus Column C
Calculated from LOCCS data (all grants less all expenditures)</t>
        </r>
      </text>
    </comment>
    <comment ref="E2" authorId="0" shapeId="0" xr:uid="{4F88B83E-97DE-4ABC-BED4-CD0B817DAB02}">
      <text>
        <r>
          <rPr>
            <b/>
            <sz val="8"/>
            <color indexed="81"/>
            <rFont val="Tahoma"/>
            <family val="2"/>
          </rPr>
          <t>Total of previous 12 months expenditures recorded in LOCCS</t>
        </r>
      </text>
    </comment>
    <comment ref="F2" authorId="0" shapeId="0" xr:uid="{7F8D72C0-9D0A-4891-BDEC-656CBB0C79ED}">
      <text>
        <r>
          <rPr>
            <b/>
            <sz val="8"/>
            <color indexed="81"/>
            <rFont val="Tahoma"/>
            <family val="2"/>
          </rPr>
          <t xml:space="preserve">
As shown in LOCCS</t>
        </r>
      </text>
    </comment>
    <comment ref="G2" authorId="0" shapeId="0" xr:uid="{A9073A45-3695-4A30-8A8A-2CE798B4CDEB}">
      <text>
        <r>
          <rPr>
            <b/>
            <sz val="8"/>
            <color indexed="81"/>
            <rFont val="Tahoma"/>
            <family val="2"/>
          </rPr>
          <t>Column D divided by Column F
Indicates # of years of funds available in terms of latest grant amt.</t>
        </r>
      </text>
    </comment>
    <comment ref="H2" authorId="0" shapeId="0" xr:uid="{C1F2C85D-46DF-405C-B070-A00F56E6850A}">
      <text>
        <r>
          <rPr>
            <b/>
            <sz val="8"/>
            <color indexed="81"/>
            <rFont val="Tahoma"/>
            <family val="2"/>
          </rPr>
          <t>Column E divided by Column F
This draw-down rate should be 1 or more to avoid increasing balances.</t>
        </r>
      </text>
    </comment>
    <comment ref="I2" authorId="0" shapeId="0" xr:uid="{6AFA7826-394A-4146-8A06-D698EBCE54D6}">
      <text>
        <r>
          <rPr>
            <b/>
            <sz val="8"/>
            <color indexed="81"/>
            <rFont val="Tahoma"/>
            <family val="2"/>
          </rPr>
          <t>Column E divided by 12
Indicates average dollar amount spent each of the last 12 months.</t>
        </r>
      </text>
    </comment>
    <comment ref="J2" authorId="0" shapeId="0" xr:uid="{888308DB-7476-4A22-942F-F0799B030381}">
      <text>
        <r>
          <rPr>
            <b/>
            <sz val="8"/>
            <color indexed="81"/>
            <rFont val="Tahoma"/>
            <family val="2"/>
          </rPr>
          <t>Indicates the number of months remaining until 60 days before end of current Program Year.</t>
        </r>
      </text>
    </comment>
    <comment ref="K2" authorId="0" shapeId="0" xr:uid="{D8A16FF0-9782-4BAB-B671-3F49455FD6FD}">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C2C19C59-267B-44DA-AEF7-D978DF684BA5}">
      <text>
        <r>
          <rPr>
            <b/>
            <sz val="8"/>
            <color indexed="81"/>
            <rFont val="Tahoma"/>
            <family val="2"/>
          </rPr>
          <t>Monthly expenditure in dollars required to reduce unexpended balance to 2 times most recent grant amount by 60 days prior to end of current Program Year.</t>
        </r>
      </text>
    </comment>
    <comment ref="M2" authorId="0" shapeId="0" xr:uid="{FBB79A66-872A-4869-81E3-EE61ADFD9F58}">
      <text>
        <r>
          <rPr>
            <b/>
            <sz val="8"/>
            <color indexed="81"/>
            <rFont val="Tahoma"/>
            <family val="2"/>
          </rPr>
          <t>Monthly expenditure in dollars required to reduce unexpended balance to 2.5 times most recent grant amount by 60 days prior to end of current Program Year.</t>
        </r>
      </text>
    </comment>
    <comment ref="N2" authorId="0" shapeId="0" xr:uid="{19C3D30C-2AD2-4B2D-8051-C56F5D5949C3}">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DFA0A0EC-176C-4CD3-94BB-A99C991093FB}">
      <text>
        <r>
          <rPr>
            <b/>
            <sz val="8"/>
            <color indexed="81"/>
            <rFont val="Tahoma"/>
            <family val="2"/>
          </rPr>
          <t xml:space="preserve">Starting date for the State's current Program Year
</t>
        </r>
      </text>
    </comment>
    <comment ref="P2" authorId="0" shapeId="0" xr:uid="{064E2D38-49F6-46EF-8ACE-743B37298989}">
      <text>
        <r>
          <rPr>
            <b/>
            <sz val="8"/>
            <color indexed="81"/>
            <rFont val="Tahoma"/>
            <family val="2"/>
          </rPr>
          <t>Column C minus prior month's Column C
Calculated from LOCCS data (all expenditures less all expenditures thru prior month)</t>
        </r>
      </text>
    </comment>
    <comment ref="Q2" authorId="0" shapeId="0" xr:uid="{5F00EFCA-E089-4768-8DE9-6A9D2D39DCF7}">
      <text>
        <r>
          <rPr>
            <b/>
            <sz val="8"/>
            <color indexed="81"/>
            <rFont val="Tahoma"/>
            <family val="2"/>
          </rPr>
          <t>Month when the most recent grant amount changed in LOCCS.  If change occurred outside range, cell indicates "over 18 months ago".</t>
        </r>
      </text>
    </comment>
    <comment ref="N6" authorId="1" shapeId="0" xr:uid="{86CF7B75-2E93-4059-A0C1-370E94746A11}">
      <text>
        <r>
          <rPr>
            <sz val="8"/>
            <color indexed="81"/>
            <rFont val="Tahoma"/>
            <family val="2"/>
          </rPr>
          <t xml:space="preserve">State changed PY start to July 1 for 2010 PY. 
PY 2009 extended to 18 months (1 Jan '09 - 30 Jun '10).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397208E3-F379-4303-B019-7D59344190C5}">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D282D4AF-92CE-4A7D-96EA-945D8613BABB}">
      <text>
        <r>
          <rPr>
            <b/>
            <sz val="8"/>
            <color indexed="81"/>
            <rFont val="Tahoma"/>
            <family val="2"/>
          </rPr>
          <t>Total Grants for all years listed in LOCCS</t>
        </r>
        <r>
          <rPr>
            <sz val="8"/>
            <color indexed="81"/>
            <rFont val="Tahoma"/>
            <family val="2"/>
          </rPr>
          <t xml:space="preserve">
</t>
        </r>
      </text>
    </comment>
    <comment ref="C2" authorId="0" shapeId="0" xr:uid="{BABB99BE-26C0-45B3-81EA-1FEAB1AEC53C}">
      <text>
        <r>
          <rPr>
            <b/>
            <sz val="8"/>
            <color indexed="81"/>
            <rFont val="Tahoma"/>
            <family val="2"/>
          </rPr>
          <t>Total expenditures for all grant years recorded in LOCCS</t>
        </r>
        <r>
          <rPr>
            <sz val="8"/>
            <color indexed="81"/>
            <rFont val="Tahoma"/>
            <family val="2"/>
          </rPr>
          <t xml:space="preserve">
</t>
        </r>
      </text>
    </comment>
    <comment ref="D2" authorId="0" shapeId="0" xr:uid="{32911303-8423-42E3-AB87-152EF42DA899}">
      <text>
        <r>
          <rPr>
            <b/>
            <sz val="8"/>
            <color indexed="81"/>
            <rFont val="Tahoma"/>
            <family val="2"/>
          </rPr>
          <t>Column B minus Column C
Calculated from LOCCS data (all grants less all expenditures)</t>
        </r>
      </text>
    </comment>
    <comment ref="E2" authorId="0" shapeId="0" xr:uid="{A04B9B6D-0833-4FA6-87F7-C7A4E8626807}">
      <text>
        <r>
          <rPr>
            <b/>
            <sz val="8"/>
            <color indexed="81"/>
            <rFont val="Tahoma"/>
            <family val="2"/>
          </rPr>
          <t>Total of previous 12 months expenditures recorded in LOCCS</t>
        </r>
      </text>
    </comment>
    <comment ref="F2" authorId="0" shapeId="0" xr:uid="{AC3FD268-6EF6-4C17-8277-FD387790B975}">
      <text>
        <r>
          <rPr>
            <b/>
            <sz val="8"/>
            <color indexed="81"/>
            <rFont val="Tahoma"/>
            <family val="2"/>
          </rPr>
          <t xml:space="preserve">
As shown in LOCCS</t>
        </r>
      </text>
    </comment>
    <comment ref="G2" authorId="0" shapeId="0" xr:uid="{715F43CE-01F4-4CA7-8D8B-DA8B01841591}">
      <text>
        <r>
          <rPr>
            <b/>
            <sz val="8"/>
            <color indexed="81"/>
            <rFont val="Tahoma"/>
            <family val="2"/>
          </rPr>
          <t>Column D divided by Column F
Indicates # of years of funds available in terms of latest grant amt.</t>
        </r>
      </text>
    </comment>
    <comment ref="H2" authorId="0" shapeId="0" xr:uid="{D92E6E4A-D624-4DF2-9F15-96385D9E29B1}">
      <text>
        <r>
          <rPr>
            <b/>
            <sz val="8"/>
            <color indexed="81"/>
            <rFont val="Tahoma"/>
            <family val="2"/>
          </rPr>
          <t>Column E divided by Column F
This draw-down rate should be 1 or more to avoid increasing balances.</t>
        </r>
      </text>
    </comment>
    <comment ref="I2" authorId="0" shapeId="0" xr:uid="{C5AF369A-29F2-465A-91F8-8044354C803F}">
      <text>
        <r>
          <rPr>
            <b/>
            <sz val="8"/>
            <color indexed="81"/>
            <rFont val="Tahoma"/>
            <family val="2"/>
          </rPr>
          <t>Column E divided by 12
Indicates average dollar amount spent each of the last 12 months.</t>
        </r>
      </text>
    </comment>
    <comment ref="J2" authorId="0" shapeId="0" xr:uid="{F12BD030-F841-49BA-9023-017FB1CF2657}">
      <text>
        <r>
          <rPr>
            <b/>
            <sz val="8"/>
            <color indexed="81"/>
            <rFont val="Tahoma"/>
            <family val="2"/>
          </rPr>
          <t>Indicates the number of months remaining until 60 days before end of current Program Year.</t>
        </r>
      </text>
    </comment>
    <comment ref="K2" authorId="0" shapeId="0" xr:uid="{F991CBDD-4A4B-498C-8E1D-3AB0CD022437}">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C2731BF6-E18D-4ADD-884E-E981C7DC6B39}">
      <text>
        <r>
          <rPr>
            <b/>
            <sz val="8"/>
            <color indexed="81"/>
            <rFont val="Tahoma"/>
            <family val="2"/>
          </rPr>
          <t>Monthly expenditure in dollars required to reduce unexpended balance to 2 times most recent grant amount by 60 days prior to end of current Program Year.</t>
        </r>
      </text>
    </comment>
    <comment ref="M2" authorId="0" shapeId="0" xr:uid="{F8782A74-1650-47A1-8507-A304B87294B7}">
      <text>
        <r>
          <rPr>
            <b/>
            <sz val="8"/>
            <color indexed="81"/>
            <rFont val="Tahoma"/>
            <family val="2"/>
          </rPr>
          <t>Monthly expenditure in dollars required to reduce unexpended balance to 2.5 times most recent grant amount by 60 days prior to end of current Program Year.</t>
        </r>
      </text>
    </comment>
    <comment ref="N2" authorId="0" shapeId="0" xr:uid="{A4AB8F01-F7F0-4548-A2E0-B3419E3241A8}">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947D38FD-884C-4B96-8AEC-5E0C2AE2044D}">
      <text>
        <r>
          <rPr>
            <b/>
            <sz val="8"/>
            <color indexed="81"/>
            <rFont val="Tahoma"/>
            <family val="2"/>
          </rPr>
          <t xml:space="preserve">Starting date for the State's current Program Year
</t>
        </r>
      </text>
    </comment>
    <comment ref="P2" authorId="0" shapeId="0" xr:uid="{CB20F0F9-CA18-4DAC-853A-D1F31B296293}">
      <text>
        <r>
          <rPr>
            <b/>
            <sz val="8"/>
            <color indexed="81"/>
            <rFont val="Tahoma"/>
            <family val="2"/>
          </rPr>
          <t>Column C minus prior month's Column C
Calculated from LOCCS data (all expenditures less all expenditures thru prior month)</t>
        </r>
      </text>
    </comment>
    <comment ref="Q2" authorId="0" shapeId="0" xr:uid="{DFB36DAE-5543-427E-B044-BC3C0802E684}">
      <text>
        <r>
          <rPr>
            <b/>
            <sz val="8"/>
            <color indexed="81"/>
            <rFont val="Tahoma"/>
            <family val="2"/>
          </rPr>
          <t>Month when the most recent grant amount changed in LOCCS.  If change occurred outside range, cell indicates "over 18 months ago".</t>
        </r>
      </text>
    </comment>
    <comment ref="N6" authorId="1" shapeId="0" xr:uid="{AE66487B-CE78-4354-BF20-D058AE0340FF}">
      <text>
        <r>
          <rPr>
            <sz val="8"/>
            <color indexed="81"/>
            <rFont val="Tahoma"/>
            <family val="2"/>
          </rPr>
          <t xml:space="preserve">State changed PY start to July 1 for 2010 PY. 
PY 2009 extended to 18 months (1 Jan '09 - 30 Jun '10).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175F47D8-1969-4BFF-9B11-C91A20CFDA62}">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815DA6AD-A97A-41D6-B94C-AFDCE4798AE4}">
      <text>
        <r>
          <rPr>
            <b/>
            <sz val="8"/>
            <color indexed="81"/>
            <rFont val="Tahoma"/>
            <family val="2"/>
          </rPr>
          <t>Total Grants for all years listed in LOCCS</t>
        </r>
        <r>
          <rPr>
            <sz val="8"/>
            <color indexed="81"/>
            <rFont val="Tahoma"/>
            <family val="2"/>
          </rPr>
          <t xml:space="preserve">
</t>
        </r>
      </text>
    </comment>
    <comment ref="C2" authorId="0" shapeId="0" xr:uid="{BAB63DA5-1C3C-41B4-B387-1253C26F380D}">
      <text>
        <r>
          <rPr>
            <b/>
            <sz val="8"/>
            <color indexed="81"/>
            <rFont val="Tahoma"/>
            <family val="2"/>
          </rPr>
          <t>Total expenditures for all grant years recorded in LOCCS</t>
        </r>
        <r>
          <rPr>
            <sz val="8"/>
            <color indexed="81"/>
            <rFont val="Tahoma"/>
            <family val="2"/>
          </rPr>
          <t xml:space="preserve">
</t>
        </r>
      </text>
    </comment>
    <comment ref="D2" authorId="0" shapeId="0" xr:uid="{3A860737-C04C-4B47-A93B-BD3205DF412C}">
      <text>
        <r>
          <rPr>
            <b/>
            <sz val="8"/>
            <color indexed="81"/>
            <rFont val="Tahoma"/>
            <family val="2"/>
          </rPr>
          <t>Column B minus Column C
Calculated from LOCCS data (all grants less all expenditures)</t>
        </r>
      </text>
    </comment>
    <comment ref="E2" authorId="0" shapeId="0" xr:uid="{1B72EE46-88FC-452D-BFF4-FB9DD71B972B}">
      <text>
        <r>
          <rPr>
            <b/>
            <sz val="8"/>
            <color indexed="81"/>
            <rFont val="Tahoma"/>
            <family val="2"/>
          </rPr>
          <t>Total of previous 12 months expenditures recorded in LOCCS</t>
        </r>
      </text>
    </comment>
    <comment ref="F2" authorId="0" shapeId="0" xr:uid="{1BE69ADF-AA2E-42A6-9E6B-86F1C121E57D}">
      <text>
        <r>
          <rPr>
            <b/>
            <sz val="8"/>
            <color indexed="81"/>
            <rFont val="Tahoma"/>
            <family val="2"/>
          </rPr>
          <t xml:space="preserve">
As shown in LOCCS</t>
        </r>
      </text>
    </comment>
    <comment ref="G2" authorId="0" shapeId="0" xr:uid="{41B42363-FE0E-4456-8295-BA4D5D32923D}">
      <text>
        <r>
          <rPr>
            <b/>
            <sz val="8"/>
            <color indexed="81"/>
            <rFont val="Tahoma"/>
            <family val="2"/>
          </rPr>
          <t>Column D divided by Column F
Indicates # of years of funds available in terms of latest grant amt.</t>
        </r>
      </text>
    </comment>
    <comment ref="H2" authorId="0" shapeId="0" xr:uid="{5DCC41C2-8B69-4715-9617-6BC5E02A9CC8}">
      <text>
        <r>
          <rPr>
            <b/>
            <sz val="8"/>
            <color indexed="81"/>
            <rFont val="Tahoma"/>
            <family val="2"/>
          </rPr>
          <t>Column E divided by Column F
This draw-down rate should be 1 or more to avoid increasing balances.</t>
        </r>
      </text>
    </comment>
    <comment ref="I2" authorId="0" shapeId="0" xr:uid="{54811D51-DA6B-4F88-AE6D-7C8EA0E05715}">
      <text>
        <r>
          <rPr>
            <b/>
            <sz val="8"/>
            <color indexed="81"/>
            <rFont val="Tahoma"/>
            <family val="2"/>
          </rPr>
          <t>Column E divided by 12
Indicates average dollar amount spent each of the last 12 months.</t>
        </r>
      </text>
    </comment>
    <comment ref="J2" authorId="0" shapeId="0" xr:uid="{40678864-0BE2-466B-822C-9C99589BD939}">
      <text>
        <r>
          <rPr>
            <b/>
            <sz val="8"/>
            <color indexed="81"/>
            <rFont val="Tahoma"/>
            <family val="2"/>
          </rPr>
          <t>Indicates the number of months remaining until 60 days before end of current Program Year.</t>
        </r>
      </text>
    </comment>
    <comment ref="K2" authorId="0" shapeId="0" xr:uid="{653EE15F-C2C0-4E6D-A6B3-981A1CCA8F41}">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13A4A6D7-4BEA-49A4-9E55-D6A8C9A3A4D7}">
      <text>
        <r>
          <rPr>
            <b/>
            <sz val="8"/>
            <color indexed="81"/>
            <rFont val="Tahoma"/>
            <family val="2"/>
          </rPr>
          <t>Monthly expenditure in dollars required to reduce unexpended balance to 2 times most recent grant amount by 60 days prior to end of current Program Year.</t>
        </r>
      </text>
    </comment>
    <comment ref="M2" authorId="0" shapeId="0" xr:uid="{11AA05A3-0BFB-4DE3-AEDA-ED0D4745B9F2}">
      <text>
        <r>
          <rPr>
            <b/>
            <sz val="8"/>
            <color indexed="81"/>
            <rFont val="Tahoma"/>
            <family val="2"/>
          </rPr>
          <t>Monthly expenditure in dollars required to reduce unexpended balance to 2.5 times most recent grant amount by 60 days prior to end of current Program Year.</t>
        </r>
      </text>
    </comment>
    <comment ref="N2" authorId="0" shapeId="0" xr:uid="{242471BD-DE3F-4C20-8699-F5A7216A23F8}">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97773DB9-A225-4C55-A6B0-88C839BFC3B2}">
      <text>
        <r>
          <rPr>
            <b/>
            <sz val="8"/>
            <color indexed="81"/>
            <rFont val="Tahoma"/>
            <family val="2"/>
          </rPr>
          <t xml:space="preserve">Starting date for the State's current Program Year
</t>
        </r>
      </text>
    </comment>
    <comment ref="P2" authorId="0" shapeId="0" xr:uid="{6D0675AB-C268-476B-926E-FC9C2B3BCE4B}">
      <text>
        <r>
          <rPr>
            <b/>
            <sz val="8"/>
            <color indexed="81"/>
            <rFont val="Tahoma"/>
            <family val="2"/>
          </rPr>
          <t>Column C minus prior month's Column C
Calculated from LOCCS data (all expenditures less all expenditures thru prior month)</t>
        </r>
      </text>
    </comment>
    <comment ref="Q2" authorId="0" shapeId="0" xr:uid="{249D54B9-F137-428F-828B-AE9E25C14CAC}">
      <text>
        <r>
          <rPr>
            <b/>
            <sz val="8"/>
            <color indexed="81"/>
            <rFont val="Tahoma"/>
            <family val="2"/>
          </rPr>
          <t>Month when the most recent grant amount changed in LOCCS.  If change occurred outside range, cell indicates "over 18 months ago".</t>
        </r>
      </text>
    </comment>
    <comment ref="N6" authorId="1" shapeId="0" xr:uid="{F4C5FC33-8544-432D-9148-216A9D51053F}">
      <text>
        <r>
          <rPr>
            <sz val="8"/>
            <color indexed="81"/>
            <rFont val="Tahoma"/>
            <family val="2"/>
          </rPr>
          <t xml:space="preserve">State changed PY start to July 1 for 2010 PY. 
PY 2009 extended to 18 months (1 Jan '09 - 30 Jun '10).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Preferred User</author>
  </authors>
  <commentList>
    <comment ref="H1" authorId="0" shapeId="0" xr:uid="{156E3675-E6CA-43A5-98B2-5BF3147299E5}">
      <text>
        <r>
          <rPr>
            <sz val="8"/>
            <color indexed="81"/>
            <rFont val="Tahoma"/>
            <family val="2"/>
          </rPr>
          <t>This number comes from the congressional budget allocation</t>
        </r>
      </text>
    </comment>
    <comment ref="T1" authorId="0" shapeId="0" xr:uid="{55149A55-2398-4CEB-9AD9-F8CF98A227A9}">
      <text>
        <r>
          <rPr>
            <sz val="8"/>
            <color indexed="81"/>
            <rFont val="Tahoma"/>
            <family val="2"/>
          </rPr>
          <t>This number comes from the congressional budget allocation</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 McCann</author>
  </authors>
  <commentList>
    <comment ref="X2" authorId="0" shapeId="0" xr:uid="{5102CB40-025C-415B-887F-A1BAE9448BB4}">
      <text>
        <r>
          <rPr>
            <sz val="10"/>
            <color indexed="81"/>
            <rFont val="Tahoma"/>
            <family val="2"/>
          </rPr>
          <t>lower # is "better"</t>
        </r>
      </text>
    </comment>
    <comment ref="X3" authorId="0" shapeId="0" xr:uid="{04B1A150-DEDA-4A75-82D2-E0225A794D7B}">
      <text>
        <r>
          <rPr>
            <sz val="10"/>
            <color indexed="81"/>
            <rFont val="Tahoma"/>
            <family val="2"/>
          </rPr>
          <t xml:space="preserve">lower # is "better"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H00367</author>
    <author>Preferred User</author>
  </authors>
  <commentList>
    <comment ref="D1" authorId="0" shapeId="0" xr:uid="{011390F3-EAE7-4BBE-92D7-26443DCC1069}">
      <text>
        <r>
          <rPr>
            <sz val="8"/>
            <color indexed="81"/>
            <rFont val="Tahoma"/>
            <family val="2"/>
          </rPr>
          <t xml:space="preserve">A rank of "1" is "best". 
HUD uses ratios to evaluate each state individually and does not consider relative "rankings".
</t>
        </r>
      </text>
    </comment>
    <comment ref="L2" authorId="1" shapeId="0" xr:uid="{094A1228-0D91-42A2-A342-1FE3CCA7708F}">
      <text>
        <r>
          <rPr>
            <b/>
            <sz val="8"/>
            <color indexed="81"/>
            <rFont val="Tahoma"/>
            <family val="2"/>
          </rPr>
          <t>This automatically sorts the first table by Program Yr Start Date and then by “Ratio of Unexpended to grant…” Notice that the table is divided up with horizontal lines.  These lines separate the States into groups according to their program year start dates.  Furthermore, this macro button sorts the second table by the overall “Ratio of Unexpended to grant…”</t>
        </r>
        <r>
          <rPr>
            <sz val="8"/>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HUD</author>
    <author>DGBS/jpm</author>
    <author>J. McCann</author>
  </authors>
  <commentList>
    <comment ref="A1" authorId="0" shapeId="0" xr:uid="{C1370F73-5E21-496E-8EA7-D3C2E3D0174E}">
      <text>
        <r>
          <rPr>
            <b/>
            <sz val="8"/>
            <color indexed="81"/>
            <rFont val="Tahoma"/>
            <family val="2"/>
          </rPr>
          <t>HUD:</t>
        </r>
        <r>
          <rPr>
            <sz val="8"/>
            <color indexed="81"/>
            <rFont val="Tahoma"/>
            <family val="2"/>
          </rPr>
          <t xml:space="preserve">
Use the auto-filter selection arrow to choose a state or Program Yr start month for display in the graphs below</t>
        </r>
      </text>
    </comment>
    <comment ref="D1" authorId="1" shapeId="0" xr:uid="{06E0C6AA-FCE8-4390-93DC-F7A888EE6358}">
      <text>
        <r>
          <rPr>
            <sz val="8"/>
            <color indexed="81"/>
            <rFont val="Tahoma"/>
            <family val="2"/>
          </rPr>
          <t>Highlighting:
Yellow = 2 to 2.5
Pink &gt; 2.5</t>
        </r>
      </text>
    </comment>
    <comment ref="AE2" authorId="2" shapeId="0" xr:uid="{ECE39884-37D7-4AA2-BF50-593EA2672AD1}">
      <text>
        <r>
          <rPr>
            <sz val="8"/>
            <color indexed="81"/>
            <rFont val="Tahoma"/>
            <family val="2"/>
          </rPr>
          <t>unspent balance is ranked from lowest ratio to highest (ascending) ratio.
Low # rank is better.</t>
        </r>
        <r>
          <rPr>
            <b/>
            <sz val="8"/>
            <color indexed="81"/>
            <rFont val="Tahoma"/>
            <family val="2"/>
          </rPr>
          <t xml:space="preserve"> </t>
        </r>
      </text>
    </comment>
    <comment ref="BF2" authorId="2" shapeId="0" xr:uid="{7F98E466-54C5-47C6-BC48-5D64D6626D01}">
      <text>
        <r>
          <rPr>
            <sz val="8"/>
            <color indexed="81"/>
            <rFont val="Tahoma"/>
            <family val="2"/>
          </rPr>
          <t xml:space="preserve">spending rate is ranked from highest rate to lowest (descending rate). Low # rank is better.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369E2DD6-520A-47C1-B589-226D7D290C44}">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A84EAC10-4403-45E9-99AE-87223D0DBF69}">
      <text>
        <r>
          <rPr>
            <b/>
            <sz val="8"/>
            <color indexed="81"/>
            <rFont val="Tahoma"/>
            <family val="2"/>
          </rPr>
          <t>Total Grants for all years listed in LOCCS</t>
        </r>
        <r>
          <rPr>
            <sz val="8"/>
            <color indexed="81"/>
            <rFont val="Tahoma"/>
            <family val="2"/>
          </rPr>
          <t xml:space="preserve">
</t>
        </r>
      </text>
    </comment>
    <comment ref="C2" authorId="0" shapeId="0" xr:uid="{F934681D-BD48-4ECD-BC17-C507915F0CA1}">
      <text>
        <r>
          <rPr>
            <b/>
            <sz val="8"/>
            <color indexed="81"/>
            <rFont val="Tahoma"/>
            <family val="2"/>
          </rPr>
          <t>Total expenditures for all grant years recorded in LOCCS</t>
        </r>
        <r>
          <rPr>
            <sz val="8"/>
            <color indexed="81"/>
            <rFont val="Tahoma"/>
            <family val="2"/>
          </rPr>
          <t xml:space="preserve">
</t>
        </r>
      </text>
    </comment>
    <comment ref="D2" authorId="0" shapeId="0" xr:uid="{B8095285-4BD7-4C7A-BAB3-C9C54CBD96C2}">
      <text>
        <r>
          <rPr>
            <b/>
            <sz val="8"/>
            <color indexed="81"/>
            <rFont val="Tahoma"/>
            <family val="2"/>
          </rPr>
          <t>Column B minus Column C
Calculated from LOCCS data (all grants less all expenditures)</t>
        </r>
      </text>
    </comment>
    <comment ref="E2" authorId="0" shapeId="0" xr:uid="{859659A3-762E-4F29-A000-F38ABCB8B96C}">
      <text>
        <r>
          <rPr>
            <b/>
            <sz val="8"/>
            <color indexed="81"/>
            <rFont val="Tahoma"/>
            <family val="2"/>
          </rPr>
          <t>Total of previous 12 months expenditures recorded in LOCCS</t>
        </r>
      </text>
    </comment>
    <comment ref="F2" authorId="0" shapeId="0" xr:uid="{38C5FEAE-E0B9-4018-BA07-B8BEA444F6E8}">
      <text>
        <r>
          <rPr>
            <b/>
            <sz val="8"/>
            <color indexed="81"/>
            <rFont val="Tahoma"/>
            <family val="2"/>
          </rPr>
          <t xml:space="preserve">
As shown in LOCCS</t>
        </r>
      </text>
    </comment>
    <comment ref="G2" authorId="0" shapeId="0" xr:uid="{4DAE0A6A-9939-4004-8CB5-18D83B21FC5E}">
      <text>
        <r>
          <rPr>
            <b/>
            <sz val="8"/>
            <color indexed="81"/>
            <rFont val="Tahoma"/>
            <family val="2"/>
          </rPr>
          <t>Column D divided by Column F
Indicates # of years of funds available in terms of latest grant amt.</t>
        </r>
      </text>
    </comment>
    <comment ref="H2" authorId="0" shapeId="0" xr:uid="{625E27EB-6D71-4447-875C-11B7B459B054}">
      <text>
        <r>
          <rPr>
            <b/>
            <sz val="8"/>
            <color indexed="81"/>
            <rFont val="Tahoma"/>
            <family val="2"/>
          </rPr>
          <t>Column E divided by Column F
This draw-down rate should be 1 or more to avoid increasing balances.</t>
        </r>
      </text>
    </comment>
    <comment ref="I2" authorId="0" shapeId="0" xr:uid="{950FC14D-2F26-4336-9470-AADC27A7AD71}">
      <text>
        <r>
          <rPr>
            <b/>
            <sz val="8"/>
            <color indexed="81"/>
            <rFont val="Tahoma"/>
            <family val="2"/>
          </rPr>
          <t>Column E divided by 12
Indicates average dollar amount spent each of the last 12 months.</t>
        </r>
      </text>
    </comment>
    <comment ref="J2" authorId="0" shapeId="0" xr:uid="{E3B20900-A377-4E90-9DDA-46C099615211}">
      <text>
        <r>
          <rPr>
            <b/>
            <sz val="8"/>
            <color indexed="81"/>
            <rFont val="Tahoma"/>
            <family val="2"/>
          </rPr>
          <t>Indicates the number of months remaining until 60 days before end of current Program Year.</t>
        </r>
      </text>
    </comment>
    <comment ref="K2" authorId="0" shapeId="0" xr:uid="{13F5911F-A534-44F5-AB64-8A8161C1BEA9}">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6B34E1FE-060C-40E1-9650-A148C7A20B2F}">
      <text>
        <r>
          <rPr>
            <b/>
            <sz val="8"/>
            <color indexed="81"/>
            <rFont val="Tahoma"/>
            <family val="2"/>
          </rPr>
          <t>Monthly expenditure in dollars required to reduce unexpended balance to 2 times most recent grant amount by 60 days prior to end of current Program Year.</t>
        </r>
      </text>
    </comment>
    <comment ref="M2" authorId="0" shapeId="0" xr:uid="{2278389E-EC27-4C27-A713-AC89AF2C1630}">
      <text>
        <r>
          <rPr>
            <b/>
            <sz val="8"/>
            <color indexed="81"/>
            <rFont val="Tahoma"/>
            <family val="2"/>
          </rPr>
          <t>Monthly expenditure in dollars required to reduce unexpended balance to 2.5 times most recent grant amount by 60 days prior to end of current Program Year.</t>
        </r>
      </text>
    </comment>
    <comment ref="N2" authorId="0" shapeId="0" xr:uid="{E2A9DA5A-63E0-45BF-A02E-FF99D4B5E5FE}">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85863CEF-B73B-43D5-B2AB-EC9CC0944CDA}">
      <text>
        <r>
          <rPr>
            <b/>
            <sz val="8"/>
            <color indexed="81"/>
            <rFont val="Tahoma"/>
            <family val="2"/>
          </rPr>
          <t xml:space="preserve">Starting date for the State's current Program Year
</t>
        </r>
      </text>
    </comment>
    <comment ref="P2" authorId="0" shapeId="0" xr:uid="{831D07AB-3BBF-4F71-AF46-0A30492A280A}">
      <text>
        <r>
          <rPr>
            <b/>
            <sz val="8"/>
            <color indexed="81"/>
            <rFont val="Tahoma"/>
            <family val="2"/>
          </rPr>
          <t>Column C minus prior month's Column C
Calculated from LOCCS data (all expenditures less all expenditures thru prior month)</t>
        </r>
      </text>
    </comment>
    <comment ref="Q2" authorId="0" shapeId="0" xr:uid="{DD9DA990-F95C-4EF4-B5C4-D21E662942EE}">
      <text>
        <r>
          <rPr>
            <b/>
            <sz val="8"/>
            <color indexed="81"/>
            <rFont val="Tahoma"/>
            <family val="2"/>
          </rPr>
          <t>Month when the most recent grant amount changed in LOCCS.  If change occurred outside range, cell indicates "over 18 months ago".</t>
        </r>
      </text>
    </comment>
    <comment ref="N7" authorId="1" shapeId="0" xr:uid="{4B5DF587-C3FF-48A9-A45D-8D4CF57631A0}">
      <text>
        <r>
          <rPr>
            <sz val="8"/>
            <color indexed="81"/>
            <rFont val="Tahoma"/>
            <family val="2"/>
          </rPr>
          <t xml:space="preserve">State changed PY start to July 1 for 2010 PY. 
PY 2009 extended to 18 months (1 Jan '09 - 30 Jun '10).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372EF33C-A34D-48F2-847E-07D1A419B1F5}">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1B228571-3F6C-4535-8EFB-7A68176E38B8}">
      <text>
        <r>
          <rPr>
            <b/>
            <sz val="8"/>
            <color indexed="81"/>
            <rFont val="Tahoma"/>
            <family val="2"/>
          </rPr>
          <t>Total Grants for all years listed in LOCCS</t>
        </r>
        <r>
          <rPr>
            <sz val="8"/>
            <color indexed="81"/>
            <rFont val="Tahoma"/>
            <family val="2"/>
          </rPr>
          <t xml:space="preserve">
</t>
        </r>
      </text>
    </comment>
    <comment ref="C2" authorId="0" shapeId="0" xr:uid="{BFF0FA5F-5A8B-4C93-90A4-04D5607F2D77}">
      <text>
        <r>
          <rPr>
            <b/>
            <sz val="8"/>
            <color indexed="81"/>
            <rFont val="Tahoma"/>
            <family val="2"/>
          </rPr>
          <t>Total expenditures for all grant years recorded in LOCCS</t>
        </r>
        <r>
          <rPr>
            <sz val="8"/>
            <color indexed="81"/>
            <rFont val="Tahoma"/>
            <family val="2"/>
          </rPr>
          <t xml:space="preserve">
</t>
        </r>
      </text>
    </comment>
    <comment ref="D2" authorId="0" shapeId="0" xr:uid="{59217F45-89E2-4004-A186-36C3750E3B29}">
      <text>
        <r>
          <rPr>
            <b/>
            <sz val="8"/>
            <color indexed="81"/>
            <rFont val="Tahoma"/>
            <family val="2"/>
          </rPr>
          <t>Column B minus Column C
Calculated from LOCCS data (all grants less all expenditures)</t>
        </r>
      </text>
    </comment>
    <comment ref="E2" authorId="0" shapeId="0" xr:uid="{607ABB86-612F-4FEE-87CE-34BE7F96C868}">
      <text>
        <r>
          <rPr>
            <b/>
            <sz val="8"/>
            <color indexed="81"/>
            <rFont val="Tahoma"/>
            <family val="2"/>
          </rPr>
          <t>Total of previous 12 months expenditures recorded in LOCCS</t>
        </r>
      </text>
    </comment>
    <comment ref="F2" authorId="0" shapeId="0" xr:uid="{EB15018C-134F-4EAD-93C2-5DEC55A7516F}">
      <text>
        <r>
          <rPr>
            <b/>
            <sz val="8"/>
            <color indexed="81"/>
            <rFont val="Tahoma"/>
            <family val="2"/>
          </rPr>
          <t xml:space="preserve">
As shown in LOCCS</t>
        </r>
      </text>
    </comment>
    <comment ref="G2" authorId="0" shapeId="0" xr:uid="{359FFBC0-3B94-47BD-863C-60EF64A3DFFC}">
      <text>
        <r>
          <rPr>
            <b/>
            <sz val="8"/>
            <color indexed="81"/>
            <rFont val="Tahoma"/>
            <family val="2"/>
          </rPr>
          <t>Column D divided by Column F
Indicates # of years of funds available in terms of latest grant amt.</t>
        </r>
      </text>
    </comment>
    <comment ref="H2" authorId="0" shapeId="0" xr:uid="{DEEFCE12-E21A-4DC8-A568-86255CEA7C36}">
      <text>
        <r>
          <rPr>
            <b/>
            <sz val="8"/>
            <color indexed="81"/>
            <rFont val="Tahoma"/>
            <family val="2"/>
          </rPr>
          <t>Column E divided by Column F
This draw-down rate should be 1 or more to avoid increasing balances.</t>
        </r>
      </text>
    </comment>
    <comment ref="I2" authorId="0" shapeId="0" xr:uid="{DB921867-DD3C-4D80-BCC1-6CDD2C22C520}">
      <text>
        <r>
          <rPr>
            <b/>
            <sz val="8"/>
            <color indexed="81"/>
            <rFont val="Tahoma"/>
            <family val="2"/>
          </rPr>
          <t>Column E divided by 12
Indicates average dollar amount spent each of the last 12 months.</t>
        </r>
      </text>
    </comment>
    <comment ref="J2" authorId="0" shapeId="0" xr:uid="{FA021CC3-FEA2-4442-89DA-2DDA2E276E0A}">
      <text>
        <r>
          <rPr>
            <b/>
            <sz val="8"/>
            <color indexed="81"/>
            <rFont val="Tahoma"/>
            <family val="2"/>
          </rPr>
          <t>Indicates the number of months remaining until 60 days before end of current Program Year.</t>
        </r>
      </text>
    </comment>
    <comment ref="K2" authorId="0" shapeId="0" xr:uid="{D8E4D35B-773D-42D1-9945-7A4DC34AEE15}">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456AA69D-79BA-4113-A5B9-F7725C403DE7}">
      <text>
        <r>
          <rPr>
            <b/>
            <sz val="8"/>
            <color indexed="81"/>
            <rFont val="Tahoma"/>
            <family val="2"/>
          </rPr>
          <t>Monthly expenditure in dollars required to reduce unexpended balance to 2 times most recent grant amount by 60 days prior to end of current Program Year.</t>
        </r>
      </text>
    </comment>
    <comment ref="M2" authorId="0" shapeId="0" xr:uid="{4AD74877-1313-42BE-A2A6-560323E7D5C8}">
      <text>
        <r>
          <rPr>
            <b/>
            <sz val="8"/>
            <color indexed="81"/>
            <rFont val="Tahoma"/>
            <family val="2"/>
          </rPr>
          <t>Monthly expenditure in dollars required to reduce unexpended balance to 2.5 times most recent grant amount by 60 days prior to end of current Program Year.</t>
        </r>
      </text>
    </comment>
    <comment ref="N2" authorId="0" shapeId="0" xr:uid="{98BD97ED-08C4-457B-A860-1A52EC4CA530}">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759165FA-2651-4C02-8A97-96F1EC98B871}">
      <text>
        <r>
          <rPr>
            <b/>
            <sz val="8"/>
            <color indexed="81"/>
            <rFont val="Tahoma"/>
            <family val="2"/>
          </rPr>
          <t xml:space="preserve">Starting date for the State's current Program Year
</t>
        </r>
      </text>
    </comment>
    <comment ref="P2" authorId="0" shapeId="0" xr:uid="{96488B55-6775-49C5-9054-BF6F1F277856}">
      <text>
        <r>
          <rPr>
            <b/>
            <sz val="8"/>
            <color indexed="81"/>
            <rFont val="Tahoma"/>
            <family val="2"/>
          </rPr>
          <t>Column C minus prior month's Column C
Calculated from LOCCS data (all expenditures less all expenditures thru prior month)</t>
        </r>
      </text>
    </comment>
    <comment ref="Q2" authorId="0" shapeId="0" xr:uid="{867583BD-1CAD-4B9C-9A5A-3BA079D587F1}">
      <text>
        <r>
          <rPr>
            <b/>
            <sz val="8"/>
            <color indexed="81"/>
            <rFont val="Tahoma"/>
            <family val="2"/>
          </rPr>
          <t>Month when the most recent grant amount changed in LOCCS.  If change occurred outside range, cell indicates "over 18 months ago".</t>
        </r>
      </text>
    </comment>
    <comment ref="N23" authorId="1" shapeId="0" xr:uid="{D57DEE5C-A299-4F7C-96FD-9DADC59D7FC5}">
      <text>
        <r>
          <rPr>
            <sz val="8"/>
            <color indexed="81"/>
            <rFont val="Tahoma"/>
            <family val="2"/>
          </rPr>
          <t xml:space="preserve">State changed PY start to July 1 for 2010 PY. 
PY 2009 extended to 18 months (1 Jan '09 - 30 Jun '10).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E410E7AE-AB25-4BED-A524-13981AB0B43E}">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3999D8F2-0498-4771-957D-E9EF48BBBB0D}">
      <text>
        <r>
          <rPr>
            <b/>
            <sz val="8"/>
            <color indexed="81"/>
            <rFont val="Tahoma"/>
            <family val="2"/>
          </rPr>
          <t>Total Grants for all years listed in LOCCS</t>
        </r>
        <r>
          <rPr>
            <sz val="8"/>
            <color indexed="81"/>
            <rFont val="Tahoma"/>
            <family val="2"/>
          </rPr>
          <t xml:space="preserve">
</t>
        </r>
      </text>
    </comment>
    <comment ref="C2" authorId="0" shapeId="0" xr:uid="{7F25A263-56DC-4A29-80E3-A493FD65DD0D}">
      <text>
        <r>
          <rPr>
            <b/>
            <sz val="8"/>
            <color indexed="81"/>
            <rFont val="Tahoma"/>
            <family val="2"/>
          </rPr>
          <t>Total expenditures for all grant years recorded in LOCCS</t>
        </r>
        <r>
          <rPr>
            <sz val="8"/>
            <color indexed="81"/>
            <rFont val="Tahoma"/>
            <family val="2"/>
          </rPr>
          <t xml:space="preserve">
</t>
        </r>
      </text>
    </comment>
    <comment ref="D2" authorId="0" shapeId="0" xr:uid="{D79D325D-78FF-49F0-8F1C-0839AEE45ADE}">
      <text>
        <r>
          <rPr>
            <b/>
            <sz val="8"/>
            <color indexed="81"/>
            <rFont val="Tahoma"/>
            <family val="2"/>
          </rPr>
          <t>Column B minus Column C
Calculated from LOCCS data (all grants less all expenditures)</t>
        </r>
      </text>
    </comment>
    <comment ref="E2" authorId="0" shapeId="0" xr:uid="{719EDFA5-A15A-4D55-AB1A-0389DC8AA05C}">
      <text>
        <r>
          <rPr>
            <b/>
            <sz val="8"/>
            <color indexed="81"/>
            <rFont val="Tahoma"/>
            <family val="2"/>
          </rPr>
          <t>Total of previous 12 months expenditures recorded in LOCCS</t>
        </r>
      </text>
    </comment>
    <comment ref="F2" authorId="0" shapeId="0" xr:uid="{ADB0D5EE-6288-45E0-A41A-2098C5490A6B}">
      <text>
        <r>
          <rPr>
            <b/>
            <sz val="8"/>
            <color indexed="81"/>
            <rFont val="Tahoma"/>
            <family val="2"/>
          </rPr>
          <t xml:space="preserve">
As shown in LOCCS</t>
        </r>
      </text>
    </comment>
    <comment ref="G2" authorId="0" shapeId="0" xr:uid="{72EABC20-E738-417B-A6A7-7EA653DA1966}">
      <text>
        <r>
          <rPr>
            <b/>
            <sz val="8"/>
            <color indexed="81"/>
            <rFont val="Tahoma"/>
            <family val="2"/>
          </rPr>
          <t>Column D divided by Column F
Indicates # of years of funds available in terms of latest grant amt.</t>
        </r>
      </text>
    </comment>
    <comment ref="H2" authorId="0" shapeId="0" xr:uid="{6F99AE5C-C27A-47F8-9502-FF0A402A42AF}">
      <text>
        <r>
          <rPr>
            <b/>
            <sz val="8"/>
            <color indexed="81"/>
            <rFont val="Tahoma"/>
            <family val="2"/>
          </rPr>
          <t>Column E divided by Column F
This draw-down rate should be 1 or more to avoid increasing balances.</t>
        </r>
      </text>
    </comment>
    <comment ref="I2" authorId="0" shapeId="0" xr:uid="{561FCBB4-D9E3-45B4-9D7E-B7270D0ED492}">
      <text>
        <r>
          <rPr>
            <b/>
            <sz val="8"/>
            <color indexed="81"/>
            <rFont val="Tahoma"/>
            <family val="2"/>
          </rPr>
          <t>Column E divided by 12
Indicates average dollar amount spent each of the last 12 months.</t>
        </r>
      </text>
    </comment>
    <comment ref="J2" authorId="0" shapeId="0" xr:uid="{1BB05EDD-D086-4566-BC20-C48BB357CFE6}">
      <text>
        <r>
          <rPr>
            <b/>
            <sz val="8"/>
            <color indexed="81"/>
            <rFont val="Tahoma"/>
            <family val="2"/>
          </rPr>
          <t>Indicates the number of months remaining until 60 days before end of current Program Year.</t>
        </r>
      </text>
    </comment>
    <comment ref="K2" authorId="0" shapeId="0" xr:uid="{7E4D3E8A-B5C2-42E4-B220-D28141AADD0C}">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A8743263-E5AF-4321-9721-A5E67A899DFC}">
      <text>
        <r>
          <rPr>
            <b/>
            <sz val="8"/>
            <color indexed="81"/>
            <rFont val="Tahoma"/>
            <family val="2"/>
          </rPr>
          <t>Monthly expenditure in dollars required to reduce unexpended balance to 2 times most recent grant amount by 60 days prior to end of current Program Year.</t>
        </r>
      </text>
    </comment>
    <comment ref="M2" authorId="0" shapeId="0" xr:uid="{09C05A12-75AF-438B-BCCB-2B606931EF0D}">
      <text>
        <r>
          <rPr>
            <b/>
            <sz val="8"/>
            <color indexed="81"/>
            <rFont val="Tahoma"/>
            <family val="2"/>
          </rPr>
          <t>Monthly expenditure in dollars required to reduce unexpended balance to 2.5 times most recent grant amount by 60 days prior to end of current Program Year.</t>
        </r>
      </text>
    </comment>
    <comment ref="N2" authorId="0" shapeId="0" xr:uid="{31B58233-E3B2-44FD-80EC-D81572B119B4}">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BD3C72B0-B5F3-4DED-9D3F-1162A63AB297}">
      <text>
        <r>
          <rPr>
            <b/>
            <sz val="8"/>
            <color indexed="81"/>
            <rFont val="Tahoma"/>
            <family val="2"/>
          </rPr>
          <t xml:space="preserve">Starting date for the State's current Program Year
</t>
        </r>
      </text>
    </comment>
    <comment ref="P2" authorId="0" shapeId="0" xr:uid="{CC4355F3-A792-4D45-8AB8-583E0FD280D1}">
      <text>
        <r>
          <rPr>
            <b/>
            <sz val="8"/>
            <color indexed="81"/>
            <rFont val="Tahoma"/>
            <family val="2"/>
          </rPr>
          <t>Column C minus prior month's Column C
Calculated from LOCCS data (all expenditures less all expenditures thru prior month)</t>
        </r>
      </text>
    </comment>
    <comment ref="Q2" authorId="0" shapeId="0" xr:uid="{5565B28A-340D-425F-8519-91FAE4FD4E6C}">
      <text>
        <r>
          <rPr>
            <b/>
            <sz val="8"/>
            <color indexed="81"/>
            <rFont val="Tahoma"/>
            <family val="2"/>
          </rPr>
          <t>Month when the most recent grant amount changed in LOCCS.  If change occurred outside range, cell indicates "over 18 months ago".</t>
        </r>
      </text>
    </comment>
    <comment ref="N7" authorId="1" shapeId="0" xr:uid="{9FE3575C-884E-4F70-B43F-03FE869E6EE3}">
      <text>
        <r>
          <rPr>
            <sz val="8"/>
            <color indexed="81"/>
            <rFont val="Tahoma"/>
            <family val="2"/>
          </rPr>
          <t xml:space="preserve">State changed PY start to July 1 for 2010 PY. 
PY 2009 extended to 18 months (1 Jan '09 - 30 Jun '10).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525FC701-4598-427D-93DA-B947DC9A2B1F}">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2430D2BB-98F6-465A-932F-DBA98CA6055F}">
      <text>
        <r>
          <rPr>
            <b/>
            <sz val="8"/>
            <color indexed="81"/>
            <rFont val="Tahoma"/>
            <family val="2"/>
          </rPr>
          <t>Total Grants for all years listed in LOCCS</t>
        </r>
        <r>
          <rPr>
            <sz val="8"/>
            <color indexed="81"/>
            <rFont val="Tahoma"/>
            <family val="2"/>
          </rPr>
          <t xml:space="preserve">
</t>
        </r>
      </text>
    </comment>
    <comment ref="C2" authorId="0" shapeId="0" xr:uid="{F5DE84F3-B6C1-419D-B9DF-425396E975EA}">
      <text>
        <r>
          <rPr>
            <b/>
            <sz val="8"/>
            <color indexed="81"/>
            <rFont val="Tahoma"/>
            <family val="2"/>
          </rPr>
          <t>Total expenditures for all grant years recorded in LOCCS</t>
        </r>
        <r>
          <rPr>
            <sz val="8"/>
            <color indexed="81"/>
            <rFont val="Tahoma"/>
            <family val="2"/>
          </rPr>
          <t xml:space="preserve">
</t>
        </r>
      </text>
    </comment>
    <comment ref="D2" authorId="0" shapeId="0" xr:uid="{28DF0CB0-E82A-47DA-A6EA-6CADB2119169}">
      <text>
        <r>
          <rPr>
            <b/>
            <sz val="8"/>
            <color indexed="81"/>
            <rFont val="Tahoma"/>
            <family val="2"/>
          </rPr>
          <t>Column B minus Column C
Calculated from LOCCS data (all grants less all expenditures)</t>
        </r>
      </text>
    </comment>
    <comment ref="E2" authorId="0" shapeId="0" xr:uid="{B1DAD2A8-2732-459A-A7DE-A80B7F23FA2A}">
      <text>
        <r>
          <rPr>
            <b/>
            <sz val="8"/>
            <color indexed="81"/>
            <rFont val="Tahoma"/>
            <family val="2"/>
          </rPr>
          <t>Total of previous 12 months expenditures recorded in LOCCS</t>
        </r>
      </text>
    </comment>
    <comment ref="F2" authorId="0" shapeId="0" xr:uid="{559311F9-D127-4486-ACB6-DC0020838569}">
      <text>
        <r>
          <rPr>
            <b/>
            <sz val="8"/>
            <color indexed="81"/>
            <rFont val="Tahoma"/>
            <family val="2"/>
          </rPr>
          <t xml:space="preserve">
As shown in LOCCS</t>
        </r>
      </text>
    </comment>
    <comment ref="G2" authorId="0" shapeId="0" xr:uid="{B4457541-623D-49B0-AE97-E5E3D1E11789}">
      <text>
        <r>
          <rPr>
            <b/>
            <sz val="8"/>
            <color indexed="81"/>
            <rFont val="Tahoma"/>
            <family val="2"/>
          </rPr>
          <t>Column D divided by Column F
Indicates # of years of funds available in terms of latest grant amt.</t>
        </r>
      </text>
    </comment>
    <comment ref="H2" authorId="0" shapeId="0" xr:uid="{5BCF7F3D-6492-4846-96AB-B0109D38BFE8}">
      <text>
        <r>
          <rPr>
            <b/>
            <sz val="8"/>
            <color indexed="81"/>
            <rFont val="Tahoma"/>
            <family val="2"/>
          </rPr>
          <t>Column E divided by Column F
This draw-down rate should be 1 or more to avoid increasing balances.</t>
        </r>
      </text>
    </comment>
    <comment ref="I2" authorId="0" shapeId="0" xr:uid="{F32DD270-77C1-491E-9BE5-BDBAB8A57831}">
      <text>
        <r>
          <rPr>
            <b/>
            <sz val="8"/>
            <color indexed="81"/>
            <rFont val="Tahoma"/>
            <family val="2"/>
          </rPr>
          <t>Column E divided by 12
Indicates average dollar amount spent each of the last 12 months.</t>
        </r>
      </text>
    </comment>
    <comment ref="J2" authorId="0" shapeId="0" xr:uid="{7C9715E5-85FC-436E-9128-0ED9A87134D9}">
      <text>
        <r>
          <rPr>
            <b/>
            <sz val="8"/>
            <color indexed="81"/>
            <rFont val="Tahoma"/>
            <family val="2"/>
          </rPr>
          <t>Indicates the number of months remaining until 60 days before end of current Program Year.</t>
        </r>
      </text>
    </comment>
    <comment ref="K2" authorId="0" shapeId="0" xr:uid="{4BD804CA-CB4E-461B-8A14-2DEE7D595166}">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40C04ABC-33CF-420A-BA98-66D6A9F13901}">
      <text>
        <r>
          <rPr>
            <b/>
            <sz val="8"/>
            <color indexed="81"/>
            <rFont val="Tahoma"/>
            <family val="2"/>
          </rPr>
          <t>Monthly expenditure in dollars required to reduce unexpended balance to 2 times most recent grant amount by 60 days prior to end of current Program Year.</t>
        </r>
      </text>
    </comment>
    <comment ref="M2" authorId="0" shapeId="0" xr:uid="{54CE0850-E9AC-4F4F-8505-1FA6E7D98363}">
      <text>
        <r>
          <rPr>
            <b/>
            <sz val="8"/>
            <color indexed="81"/>
            <rFont val="Tahoma"/>
            <family val="2"/>
          </rPr>
          <t>Monthly expenditure in dollars required to reduce unexpended balance to 2.5 times most recent grant amount by 60 days prior to end of current Program Year.</t>
        </r>
      </text>
    </comment>
    <comment ref="N2" authorId="0" shapeId="0" xr:uid="{985D5C5A-154E-44BF-980B-B4A39AFEA260}">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62CA113E-1C7D-4E6B-80A5-48CC67E3D10B}">
      <text>
        <r>
          <rPr>
            <b/>
            <sz val="8"/>
            <color indexed="81"/>
            <rFont val="Tahoma"/>
            <family val="2"/>
          </rPr>
          <t xml:space="preserve">Starting date for the State's current Program Year
</t>
        </r>
      </text>
    </comment>
    <comment ref="P2" authorId="0" shapeId="0" xr:uid="{F7C595B3-6C71-4607-A8B5-35AF169D624C}">
      <text>
        <r>
          <rPr>
            <b/>
            <sz val="8"/>
            <color indexed="81"/>
            <rFont val="Tahoma"/>
            <family val="2"/>
          </rPr>
          <t>Column C minus prior month's Column C
Calculated from LOCCS data (all expenditures less all expenditures thru prior month)</t>
        </r>
      </text>
    </comment>
    <comment ref="Q2" authorId="0" shapeId="0" xr:uid="{49A10368-2230-4383-9F18-0C40C8D28770}">
      <text>
        <r>
          <rPr>
            <b/>
            <sz val="8"/>
            <color indexed="81"/>
            <rFont val="Tahoma"/>
            <family val="2"/>
          </rPr>
          <t>Month when the most recent grant amount changed in LOCCS.  If change occurred outside range, cell indicates "over 18 months ago".</t>
        </r>
      </text>
    </comment>
    <comment ref="N7" authorId="1" shapeId="0" xr:uid="{2A219A4C-7524-4755-978C-76CE728302E8}">
      <text>
        <r>
          <rPr>
            <sz val="8"/>
            <color indexed="81"/>
            <rFont val="Tahoma"/>
            <family val="2"/>
          </rPr>
          <t xml:space="preserve">State changed PY start to July 1 for 2010 PY. 
PY 2009 extended to 18 months (1 Jan '09 - 30 Jun '10).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AB06364E-23C1-4B45-9610-14A226BAD2F6}">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C715C7B4-8113-4C67-A005-BA5A70E756E7}">
      <text>
        <r>
          <rPr>
            <b/>
            <sz val="8"/>
            <color indexed="81"/>
            <rFont val="Tahoma"/>
            <family val="2"/>
          </rPr>
          <t>Total Grants for all years listed in LOCCS</t>
        </r>
        <r>
          <rPr>
            <sz val="8"/>
            <color indexed="81"/>
            <rFont val="Tahoma"/>
            <family val="2"/>
          </rPr>
          <t xml:space="preserve">
</t>
        </r>
      </text>
    </comment>
    <comment ref="C2" authorId="0" shapeId="0" xr:uid="{04BA809D-A1C1-4952-9E8E-141DAA6B9A94}">
      <text>
        <r>
          <rPr>
            <b/>
            <sz val="8"/>
            <color indexed="81"/>
            <rFont val="Tahoma"/>
            <family val="2"/>
          </rPr>
          <t>Total expenditures for all grant years recorded in LOCCS</t>
        </r>
        <r>
          <rPr>
            <sz val="8"/>
            <color indexed="81"/>
            <rFont val="Tahoma"/>
            <family val="2"/>
          </rPr>
          <t xml:space="preserve">
</t>
        </r>
      </text>
    </comment>
    <comment ref="D2" authorId="0" shapeId="0" xr:uid="{6DFFD439-6B5C-4242-A51D-EF78E928DB2A}">
      <text>
        <r>
          <rPr>
            <b/>
            <sz val="8"/>
            <color indexed="81"/>
            <rFont val="Tahoma"/>
            <family val="2"/>
          </rPr>
          <t>Column B minus Column C
Calculated from LOCCS data (all grants less all expenditures)</t>
        </r>
      </text>
    </comment>
    <comment ref="E2" authorId="0" shapeId="0" xr:uid="{8D2C858D-D311-4A66-B304-E06A1A3F3B47}">
      <text>
        <r>
          <rPr>
            <b/>
            <sz val="8"/>
            <color indexed="81"/>
            <rFont val="Tahoma"/>
            <family val="2"/>
          </rPr>
          <t>Total of previous 12 months expenditures recorded in LOCCS</t>
        </r>
      </text>
    </comment>
    <comment ref="F2" authorId="0" shapeId="0" xr:uid="{ABFC1366-A7B5-480C-83EA-314A07A22015}">
      <text>
        <r>
          <rPr>
            <b/>
            <sz val="8"/>
            <color indexed="81"/>
            <rFont val="Tahoma"/>
            <family val="2"/>
          </rPr>
          <t xml:space="preserve">
As shown in LOCCS</t>
        </r>
      </text>
    </comment>
    <comment ref="G2" authorId="0" shapeId="0" xr:uid="{702DE734-BFEA-4BB0-997D-0BCCC0FDF50B}">
      <text>
        <r>
          <rPr>
            <b/>
            <sz val="8"/>
            <color indexed="81"/>
            <rFont val="Tahoma"/>
            <family val="2"/>
          </rPr>
          <t>Column D divided by Column F
Indicates # of years of funds available in terms of latest grant amt.</t>
        </r>
      </text>
    </comment>
    <comment ref="H2" authorId="0" shapeId="0" xr:uid="{2CC3A640-3B99-466F-BCFF-250006B8F45C}">
      <text>
        <r>
          <rPr>
            <b/>
            <sz val="8"/>
            <color indexed="81"/>
            <rFont val="Tahoma"/>
            <family val="2"/>
          </rPr>
          <t>Column E divided by Column F
This draw-down rate should be 1 or more to avoid increasing balances.</t>
        </r>
      </text>
    </comment>
    <comment ref="I2" authorId="0" shapeId="0" xr:uid="{F9B723D4-4C30-46F3-8221-70225B34907D}">
      <text>
        <r>
          <rPr>
            <b/>
            <sz val="8"/>
            <color indexed="81"/>
            <rFont val="Tahoma"/>
            <family val="2"/>
          </rPr>
          <t>Column E divided by 12
Indicates average dollar amount spent each of the last 12 months.</t>
        </r>
      </text>
    </comment>
    <comment ref="J2" authorId="0" shapeId="0" xr:uid="{B3CFDF0C-054C-46E4-A609-73ADEF63B3F4}">
      <text>
        <r>
          <rPr>
            <b/>
            <sz val="8"/>
            <color indexed="81"/>
            <rFont val="Tahoma"/>
            <family val="2"/>
          </rPr>
          <t>Indicates the number of months remaining until 60 days before end of current Program Year.</t>
        </r>
      </text>
    </comment>
    <comment ref="K2" authorId="0" shapeId="0" xr:uid="{FDE6AB1C-F839-494B-B862-3747DE517ED0}">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EA123E7E-6CBA-42BB-ACAB-B9D8D26EA54D}">
      <text>
        <r>
          <rPr>
            <b/>
            <sz val="8"/>
            <color indexed="81"/>
            <rFont val="Tahoma"/>
            <family val="2"/>
          </rPr>
          <t>Monthly expenditure in dollars required to reduce unexpended balance to 2 times most recent grant amount by 60 days prior to end of current Program Year.</t>
        </r>
      </text>
    </comment>
    <comment ref="M2" authorId="0" shapeId="0" xr:uid="{BAF87EE1-CC08-42C0-8D22-A8639DC72481}">
      <text>
        <r>
          <rPr>
            <b/>
            <sz val="8"/>
            <color indexed="81"/>
            <rFont val="Tahoma"/>
            <family val="2"/>
          </rPr>
          <t>Monthly expenditure in dollars required to reduce unexpended balance to 2.5 times most recent grant amount by 60 days prior to end of current Program Year.</t>
        </r>
      </text>
    </comment>
    <comment ref="N2" authorId="0" shapeId="0" xr:uid="{D0D617C6-8B95-461A-A04C-1287162B9185}">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4F65D436-6E28-4EB9-B099-60C1993024EB}">
      <text>
        <r>
          <rPr>
            <b/>
            <sz val="8"/>
            <color indexed="81"/>
            <rFont val="Tahoma"/>
            <family val="2"/>
          </rPr>
          <t xml:space="preserve">Starting date for the State's current Program Year
</t>
        </r>
      </text>
    </comment>
    <comment ref="P2" authorId="0" shapeId="0" xr:uid="{16F34842-6F16-457C-A1A8-F10AA23860F5}">
      <text>
        <r>
          <rPr>
            <b/>
            <sz val="8"/>
            <color indexed="81"/>
            <rFont val="Tahoma"/>
            <family val="2"/>
          </rPr>
          <t>Column C minus prior month's Column C
Calculated from LOCCS data (all expenditures less all expenditures thru prior month)</t>
        </r>
      </text>
    </comment>
    <comment ref="Q2" authorId="0" shapeId="0" xr:uid="{5A695BBD-C54A-47F9-B5E7-48A88495A55B}">
      <text>
        <r>
          <rPr>
            <b/>
            <sz val="8"/>
            <color indexed="81"/>
            <rFont val="Tahoma"/>
            <family val="2"/>
          </rPr>
          <t>Month when the most recent grant amount changed in LOCCS.  If change occurred outside range, cell indicates "over 18 months ago".</t>
        </r>
      </text>
    </comment>
    <comment ref="N6" authorId="1" shapeId="0" xr:uid="{B693D488-A888-4C26-847D-EF7F04AB22A3}">
      <text>
        <r>
          <rPr>
            <sz val="8"/>
            <color indexed="81"/>
            <rFont val="Tahoma"/>
            <family val="2"/>
          </rPr>
          <t xml:space="preserve">State changed PY start to July 1 for 2010 PY. 
PY 2009 extended to 18 months (1 Jan '09 - 30 Jun '10).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E8453E08-2FC8-418A-AA59-AA689AA08425}">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A3F621B3-9C00-4BDD-9ECE-E854964C4B2B}">
      <text>
        <r>
          <rPr>
            <b/>
            <sz val="8"/>
            <color indexed="81"/>
            <rFont val="Tahoma"/>
            <family val="2"/>
          </rPr>
          <t>Total Grants for all years listed in LOCCS</t>
        </r>
        <r>
          <rPr>
            <sz val="8"/>
            <color indexed="81"/>
            <rFont val="Tahoma"/>
            <family val="2"/>
          </rPr>
          <t xml:space="preserve">
</t>
        </r>
      </text>
    </comment>
    <comment ref="C2" authorId="0" shapeId="0" xr:uid="{8AEFDA71-05ED-4B21-A4CF-37D1076AFC01}">
      <text>
        <r>
          <rPr>
            <b/>
            <sz val="8"/>
            <color indexed="81"/>
            <rFont val="Tahoma"/>
            <family val="2"/>
          </rPr>
          <t>Total expenditures for all grant years recorded in LOCCS</t>
        </r>
        <r>
          <rPr>
            <sz val="8"/>
            <color indexed="81"/>
            <rFont val="Tahoma"/>
            <family val="2"/>
          </rPr>
          <t xml:space="preserve">
</t>
        </r>
      </text>
    </comment>
    <comment ref="D2" authorId="0" shapeId="0" xr:uid="{EFF0CFE4-45AC-44C8-AA5E-6BC396C80BD8}">
      <text>
        <r>
          <rPr>
            <b/>
            <sz val="8"/>
            <color indexed="81"/>
            <rFont val="Tahoma"/>
            <family val="2"/>
          </rPr>
          <t>Column B minus Column C
Calculated from LOCCS data (all grants less all expenditures)</t>
        </r>
      </text>
    </comment>
    <comment ref="E2" authorId="0" shapeId="0" xr:uid="{711B62D5-3629-42F3-835A-F7DF970A9E85}">
      <text>
        <r>
          <rPr>
            <b/>
            <sz val="8"/>
            <color indexed="81"/>
            <rFont val="Tahoma"/>
            <family val="2"/>
          </rPr>
          <t>Total of previous 12 months expenditures recorded in LOCCS</t>
        </r>
      </text>
    </comment>
    <comment ref="F2" authorId="0" shapeId="0" xr:uid="{3A528B71-6514-4E82-82C0-BB05B90C1405}">
      <text>
        <r>
          <rPr>
            <b/>
            <sz val="8"/>
            <color indexed="81"/>
            <rFont val="Tahoma"/>
            <family val="2"/>
          </rPr>
          <t xml:space="preserve">
As shown in LOCCS</t>
        </r>
      </text>
    </comment>
    <comment ref="G2" authorId="0" shapeId="0" xr:uid="{B16813B8-FA70-41BF-A5FF-5F1C2511DA25}">
      <text>
        <r>
          <rPr>
            <b/>
            <sz val="8"/>
            <color indexed="81"/>
            <rFont val="Tahoma"/>
            <family val="2"/>
          </rPr>
          <t>Column D divided by Column F
Indicates # of years of funds available in terms of latest grant amt.</t>
        </r>
      </text>
    </comment>
    <comment ref="H2" authorId="0" shapeId="0" xr:uid="{4AAC876F-608D-419E-90B4-060F153ABECE}">
      <text>
        <r>
          <rPr>
            <b/>
            <sz val="8"/>
            <color indexed="81"/>
            <rFont val="Tahoma"/>
            <family val="2"/>
          </rPr>
          <t>Column E divided by Column F
This draw-down rate should be 1 or more to avoid increasing balances.</t>
        </r>
      </text>
    </comment>
    <comment ref="I2" authorId="0" shapeId="0" xr:uid="{41DF6A05-06E1-43E8-910A-C82250B1503C}">
      <text>
        <r>
          <rPr>
            <b/>
            <sz val="8"/>
            <color indexed="81"/>
            <rFont val="Tahoma"/>
            <family val="2"/>
          </rPr>
          <t>Column E divided by 12
Indicates average dollar amount spent each of the last 12 months.</t>
        </r>
      </text>
    </comment>
    <comment ref="J2" authorId="0" shapeId="0" xr:uid="{4481AECA-49F4-4D6A-884B-38D648461E86}">
      <text>
        <r>
          <rPr>
            <b/>
            <sz val="8"/>
            <color indexed="81"/>
            <rFont val="Tahoma"/>
            <family val="2"/>
          </rPr>
          <t>Indicates the number of months remaining until 60 days before end of current Program Year.</t>
        </r>
      </text>
    </comment>
    <comment ref="K2" authorId="0" shapeId="0" xr:uid="{617215EF-6035-4C77-8E6B-5E17F9C26B6B}">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5206354D-7DD0-4DBC-8BF1-0D7BB0F12127}">
      <text>
        <r>
          <rPr>
            <b/>
            <sz val="8"/>
            <color indexed="81"/>
            <rFont val="Tahoma"/>
            <family val="2"/>
          </rPr>
          <t>Monthly expenditure in dollars required to reduce unexpended balance to 2 times most recent grant amount by 60 days prior to end of current Program Year.</t>
        </r>
      </text>
    </comment>
    <comment ref="M2" authorId="0" shapeId="0" xr:uid="{2D8E3BAC-0DFA-4BA7-BB4A-48DF9D1ADE32}">
      <text>
        <r>
          <rPr>
            <b/>
            <sz val="8"/>
            <color indexed="81"/>
            <rFont val="Tahoma"/>
            <family val="2"/>
          </rPr>
          <t>Monthly expenditure in dollars required to reduce unexpended balance to 2.5 times most recent grant amount by 60 days prior to end of current Program Year.</t>
        </r>
      </text>
    </comment>
    <comment ref="N2" authorId="0" shapeId="0" xr:uid="{D52363E4-F7E8-4A84-A9E0-FA74CDDFA2A3}">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A474BEC0-29FF-4333-A864-B2EDBF3C9101}">
      <text>
        <r>
          <rPr>
            <b/>
            <sz val="8"/>
            <color indexed="81"/>
            <rFont val="Tahoma"/>
            <family val="2"/>
          </rPr>
          <t xml:space="preserve">Starting date for the State's current Program Year
</t>
        </r>
      </text>
    </comment>
    <comment ref="P2" authorId="0" shapeId="0" xr:uid="{EDA12F56-5DB3-4F3E-AD0B-55ECCD69C320}">
      <text>
        <r>
          <rPr>
            <b/>
            <sz val="8"/>
            <color indexed="81"/>
            <rFont val="Tahoma"/>
            <family val="2"/>
          </rPr>
          <t>Column C minus prior month's Column C
Calculated from LOCCS data (all expenditures less all expenditures thru prior month)</t>
        </r>
      </text>
    </comment>
    <comment ref="Q2" authorId="0" shapeId="0" xr:uid="{B4F6680C-A7B4-40DC-8780-4678113033BA}">
      <text>
        <r>
          <rPr>
            <b/>
            <sz val="8"/>
            <color indexed="81"/>
            <rFont val="Tahoma"/>
            <family val="2"/>
          </rPr>
          <t>Month when the most recent grant amount changed in LOCCS.  If change occurred outside range, cell indicates "over 18 months ago".</t>
        </r>
      </text>
    </comment>
    <comment ref="N6" authorId="1" shapeId="0" xr:uid="{318AE6CB-32E1-43B3-8BC0-E45941D077FB}">
      <text>
        <r>
          <rPr>
            <sz val="8"/>
            <color indexed="81"/>
            <rFont val="Tahoma"/>
            <family val="2"/>
          </rPr>
          <t xml:space="preserve">State changed PY start to July 1 for 2010 PY. 
PY 2009 extended to 18 months (1 Jan '09 - 30 Jun '10).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A09E2985-0201-4903-B359-D56A55D7B8E5}">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C9C9D11F-663E-4162-AD55-B0834A6F9F5E}">
      <text>
        <r>
          <rPr>
            <b/>
            <sz val="8"/>
            <color indexed="81"/>
            <rFont val="Tahoma"/>
            <family val="2"/>
          </rPr>
          <t>Total Grants for all years listed in LOCCS</t>
        </r>
        <r>
          <rPr>
            <sz val="8"/>
            <color indexed="81"/>
            <rFont val="Tahoma"/>
            <family val="2"/>
          </rPr>
          <t xml:space="preserve">
</t>
        </r>
      </text>
    </comment>
    <comment ref="C2" authorId="0" shapeId="0" xr:uid="{295A24B2-4369-4F15-B7FD-4AA9A1F039DA}">
      <text>
        <r>
          <rPr>
            <b/>
            <sz val="8"/>
            <color indexed="81"/>
            <rFont val="Tahoma"/>
            <family val="2"/>
          </rPr>
          <t>Total expenditures for all grant years recorded in LOCCS</t>
        </r>
        <r>
          <rPr>
            <sz val="8"/>
            <color indexed="81"/>
            <rFont val="Tahoma"/>
            <family val="2"/>
          </rPr>
          <t xml:space="preserve">
</t>
        </r>
      </text>
    </comment>
    <comment ref="D2" authorId="0" shapeId="0" xr:uid="{F8D6780C-714D-49A3-A30C-54D39DE240E6}">
      <text>
        <r>
          <rPr>
            <b/>
            <sz val="8"/>
            <color indexed="81"/>
            <rFont val="Tahoma"/>
            <family val="2"/>
          </rPr>
          <t>Column B minus Column C
Calculated from LOCCS data (all grants less all expenditures)</t>
        </r>
      </text>
    </comment>
    <comment ref="E2" authorId="0" shapeId="0" xr:uid="{A1D4435F-E258-44D0-B059-47B4873A32CE}">
      <text>
        <r>
          <rPr>
            <b/>
            <sz val="8"/>
            <color indexed="81"/>
            <rFont val="Tahoma"/>
            <family val="2"/>
          </rPr>
          <t>Total of previous 12 months expenditures recorded in LOCCS</t>
        </r>
      </text>
    </comment>
    <comment ref="F2" authorId="0" shapeId="0" xr:uid="{C88883BE-24C8-4730-AE4A-42C2C5D26CF9}">
      <text>
        <r>
          <rPr>
            <b/>
            <sz val="8"/>
            <color indexed="81"/>
            <rFont val="Tahoma"/>
            <family val="2"/>
          </rPr>
          <t xml:space="preserve">
As shown in LOCCS</t>
        </r>
      </text>
    </comment>
    <comment ref="G2" authorId="0" shapeId="0" xr:uid="{0D536314-5C2D-4B33-95BA-94240ADE5FCD}">
      <text>
        <r>
          <rPr>
            <b/>
            <sz val="8"/>
            <color indexed="81"/>
            <rFont val="Tahoma"/>
            <family val="2"/>
          </rPr>
          <t>Column D divided by Column F
Indicates # of years of funds available in terms of latest grant amt.</t>
        </r>
      </text>
    </comment>
    <comment ref="H2" authorId="0" shapeId="0" xr:uid="{CA076183-81AF-4D27-9C12-55C5D7CEB042}">
      <text>
        <r>
          <rPr>
            <b/>
            <sz val="8"/>
            <color indexed="81"/>
            <rFont val="Tahoma"/>
            <family val="2"/>
          </rPr>
          <t>Column E divided by Column F
This draw-down rate should be 1 or more to avoid increasing balances.</t>
        </r>
      </text>
    </comment>
    <comment ref="I2" authorId="0" shapeId="0" xr:uid="{0BA25979-BCCF-45DD-99B7-3FD4B10B632F}">
      <text>
        <r>
          <rPr>
            <b/>
            <sz val="8"/>
            <color indexed="81"/>
            <rFont val="Tahoma"/>
            <family val="2"/>
          </rPr>
          <t>Column E divided by 12
Indicates average dollar amount spent each of the last 12 months.</t>
        </r>
      </text>
    </comment>
    <comment ref="J2" authorId="0" shapeId="0" xr:uid="{8E13D18A-3B49-466C-9510-D2722C0176CF}">
      <text>
        <r>
          <rPr>
            <b/>
            <sz val="8"/>
            <color indexed="81"/>
            <rFont val="Tahoma"/>
            <family val="2"/>
          </rPr>
          <t>Indicates the number of months remaining until 60 days before end of current Program Year.</t>
        </r>
      </text>
    </comment>
    <comment ref="K2" authorId="0" shapeId="0" xr:uid="{2E23D76B-EFA8-47EB-9F7F-327D458A465D}">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D2042F23-CAFC-42E5-8D67-8747A4836E57}">
      <text>
        <r>
          <rPr>
            <b/>
            <sz val="8"/>
            <color indexed="81"/>
            <rFont val="Tahoma"/>
            <family val="2"/>
          </rPr>
          <t>Monthly expenditure in dollars required to reduce unexpended balance to 2 times most recent grant amount by 60 days prior to end of current Program Year.</t>
        </r>
      </text>
    </comment>
    <comment ref="M2" authorId="0" shapeId="0" xr:uid="{018D3A1B-E12C-4C59-A679-7C07F416AFA0}">
      <text>
        <r>
          <rPr>
            <b/>
            <sz val="8"/>
            <color indexed="81"/>
            <rFont val="Tahoma"/>
            <family val="2"/>
          </rPr>
          <t>Monthly expenditure in dollars required to reduce unexpended balance to 2.5 times most recent grant amount by 60 days prior to end of current Program Year.</t>
        </r>
      </text>
    </comment>
    <comment ref="N2" authorId="0" shapeId="0" xr:uid="{C477ED81-F8A6-4EA6-9D86-FA8E131A93B1}">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A6967F53-6C44-48DA-8F11-C016A93C0380}">
      <text>
        <r>
          <rPr>
            <b/>
            <sz val="8"/>
            <color indexed="81"/>
            <rFont val="Tahoma"/>
            <family val="2"/>
          </rPr>
          <t xml:space="preserve">Starting date for the State's current Program Year
</t>
        </r>
      </text>
    </comment>
    <comment ref="P2" authorId="0" shapeId="0" xr:uid="{B4DF0DAD-13E8-46E7-90EB-639EB8543F58}">
      <text>
        <r>
          <rPr>
            <b/>
            <sz val="8"/>
            <color indexed="81"/>
            <rFont val="Tahoma"/>
            <family val="2"/>
          </rPr>
          <t>Column C minus prior month's Column C
Calculated from LOCCS data (all expenditures less all expenditures thru prior month)</t>
        </r>
      </text>
    </comment>
    <comment ref="Q2" authorId="0" shapeId="0" xr:uid="{0EE80D3A-B2B7-4F5C-AAF1-522391407323}">
      <text>
        <r>
          <rPr>
            <b/>
            <sz val="8"/>
            <color indexed="81"/>
            <rFont val="Tahoma"/>
            <family val="2"/>
          </rPr>
          <t>Month when the most recent grant amount changed in LOCCS.  If change occurred outside range, cell indicates "over 18 months ago".</t>
        </r>
      </text>
    </comment>
    <comment ref="N6" authorId="1" shapeId="0" xr:uid="{DBE052F3-81D3-4CEF-9134-3078BB258CEC}">
      <text>
        <r>
          <rPr>
            <sz val="8"/>
            <color indexed="81"/>
            <rFont val="Tahoma"/>
            <family val="2"/>
          </rPr>
          <t xml:space="preserve">State changed PY start to July 1 for 2010 PY. 
PY 2009 extended to 18 months (1 Jan '09 - 30 Jun '10).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Preferred User</author>
    <author>J. McCann</author>
  </authors>
  <commentList>
    <comment ref="A2" authorId="0" shapeId="0" xr:uid="{34784779-2357-4596-85FA-02A6E6F98F28}">
      <text>
        <r>
          <rPr>
            <b/>
            <sz val="8"/>
            <color indexed="81"/>
            <rFont val="Tahoma"/>
            <family val="2"/>
          </rPr>
          <t>Full name of State
(States are sorted by "Ratio Unexpended to Grant" in Col G)</t>
        </r>
        <r>
          <rPr>
            <sz val="8"/>
            <color indexed="81"/>
            <rFont val="Tahoma"/>
            <family val="2"/>
          </rPr>
          <t xml:space="preserve">
</t>
        </r>
      </text>
    </comment>
    <comment ref="B2" authorId="0" shapeId="0" xr:uid="{F5D894A0-AB50-4A99-995E-3C47A8F80C10}">
      <text>
        <r>
          <rPr>
            <b/>
            <sz val="8"/>
            <color indexed="81"/>
            <rFont val="Tahoma"/>
            <family val="2"/>
          </rPr>
          <t>Total Grants for all years listed in LOCCS</t>
        </r>
        <r>
          <rPr>
            <sz val="8"/>
            <color indexed="81"/>
            <rFont val="Tahoma"/>
            <family val="2"/>
          </rPr>
          <t xml:space="preserve">
</t>
        </r>
      </text>
    </comment>
    <comment ref="C2" authorId="0" shapeId="0" xr:uid="{2DFE6F97-D5A2-497E-86B3-ADE973FFE7DC}">
      <text>
        <r>
          <rPr>
            <b/>
            <sz val="8"/>
            <color indexed="81"/>
            <rFont val="Tahoma"/>
            <family val="2"/>
          </rPr>
          <t>Total expenditures for all grant years recorded in LOCCS</t>
        </r>
        <r>
          <rPr>
            <sz val="8"/>
            <color indexed="81"/>
            <rFont val="Tahoma"/>
            <family val="2"/>
          </rPr>
          <t xml:space="preserve">
</t>
        </r>
      </text>
    </comment>
    <comment ref="D2" authorId="0" shapeId="0" xr:uid="{17AEDC75-4955-47C7-8473-BD3C140A35BD}">
      <text>
        <r>
          <rPr>
            <b/>
            <sz val="8"/>
            <color indexed="81"/>
            <rFont val="Tahoma"/>
            <family val="2"/>
          </rPr>
          <t>Column B minus Column C
Calculated from LOCCS data (all grants less all expenditures)</t>
        </r>
      </text>
    </comment>
    <comment ref="E2" authorId="0" shapeId="0" xr:uid="{2CEE86F0-D716-41BA-8273-F18DF6B4A476}">
      <text>
        <r>
          <rPr>
            <b/>
            <sz val="8"/>
            <color indexed="81"/>
            <rFont val="Tahoma"/>
            <family val="2"/>
          </rPr>
          <t>Total of previous 12 months expenditures recorded in LOCCS</t>
        </r>
      </text>
    </comment>
    <comment ref="F2" authorId="0" shapeId="0" xr:uid="{114E87CA-B123-4438-9F72-AD1CD2ABC16A}">
      <text>
        <r>
          <rPr>
            <b/>
            <sz val="8"/>
            <color indexed="81"/>
            <rFont val="Tahoma"/>
            <family val="2"/>
          </rPr>
          <t xml:space="preserve">
As shown in LOCCS</t>
        </r>
      </text>
    </comment>
    <comment ref="G2" authorId="0" shapeId="0" xr:uid="{B1C6B601-9CE8-447F-9896-7BBE23C6CA6F}">
      <text>
        <r>
          <rPr>
            <b/>
            <sz val="8"/>
            <color indexed="81"/>
            <rFont val="Tahoma"/>
            <family val="2"/>
          </rPr>
          <t>Column D divided by Column F
Indicates # of years of funds available in terms of latest grant amt.</t>
        </r>
      </text>
    </comment>
    <comment ref="H2" authorId="0" shapeId="0" xr:uid="{3C6B5B0E-15A0-4C79-AC70-41833B7E3E40}">
      <text>
        <r>
          <rPr>
            <b/>
            <sz val="8"/>
            <color indexed="81"/>
            <rFont val="Tahoma"/>
            <family val="2"/>
          </rPr>
          <t>Column E divided by Column F
This draw-down rate should be 1 or more to avoid increasing balances.</t>
        </r>
      </text>
    </comment>
    <comment ref="I2" authorId="0" shapeId="0" xr:uid="{9006EC92-72A1-492C-ACCC-A1A7C2391C6D}">
      <text>
        <r>
          <rPr>
            <b/>
            <sz val="8"/>
            <color indexed="81"/>
            <rFont val="Tahoma"/>
            <family val="2"/>
          </rPr>
          <t>Column E divided by 12
Indicates average dollar amount spent each of the last 12 months.</t>
        </r>
      </text>
    </comment>
    <comment ref="J2" authorId="0" shapeId="0" xr:uid="{E6090ECD-DAF4-4F7B-9B3F-03C0A89C67D2}">
      <text>
        <r>
          <rPr>
            <b/>
            <sz val="8"/>
            <color indexed="81"/>
            <rFont val="Tahoma"/>
            <family val="2"/>
          </rPr>
          <t>Indicates the number of months remaining until 60 days before end of current Program Year.</t>
        </r>
      </text>
    </comment>
    <comment ref="K2" authorId="0" shapeId="0" xr:uid="{526BEC67-D037-4735-BA19-F032E82E331E}">
      <text>
        <r>
          <rPr>
            <b/>
            <sz val="8"/>
            <color indexed="81"/>
            <rFont val="Tahoma"/>
            <family val="2"/>
          </rPr>
          <t xml:space="preserve">Column D minus (Column I times Column J)
Expected balance at 60 days before end of Program Year if expenditures continue at previous 12-month rate. </t>
        </r>
      </text>
    </comment>
    <comment ref="L2" authorId="0" shapeId="0" xr:uid="{D8142DCD-5272-42DE-A930-6B9DEA56208F}">
      <text>
        <r>
          <rPr>
            <b/>
            <sz val="8"/>
            <color indexed="81"/>
            <rFont val="Tahoma"/>
            <family val="2"/>
          </rPr>
          <t>Monthly expenditure in dollars required to reduce unexpended balance to 2 times most recent grant amount by 60 days prior to end of current Program Year.</t>
        </r>
      </text>
    </comment>
    <comment ref="M2" authorId="0" shapeId="0" xr:uid="{951F4807-F593-43D0-A8F4-86168259136B}">
      <text>
        <r>
          <rPr>
            <b/>
            <sz val="8"/>
            <color indexed="81"/>
            <rFont val="Tahoma"/>
            <family val="2"/>
          </rPr>
          <t>Monthly expenditure in dollars required to reduce unexpended balance to 2.5 times most recent grant amount by 60 days prior to end of current Program Year.</t>
        </r>
      </text>
    </comment>
    <comment ref="N2" authorId="0" shapeId="0" xr:uid="{4142EF95-F994-405E-B90A-A2DEF115D453}">
      <text>
        <r>
          <rPr>
            <b/>
            <sz val="8"/>
            <color indexed="81"/>
            <rFont val="Tahoma"/>
            <family val="2"/>
          </rPr>
          <t xml:space="preserve">Start date of the program year within the current program year
</t>
        </r>
        <r>
          <rPr>
            <sz val="8"/>
            <color indexed="81"/>
            <rFont val="Tahoma"/>
            <family val="2"/>
          </rPr>
          <t xml:space="preserve">
</t>
        </r>
      </text>
    </comment>
    <comment ref="O2" authorId="0" shapeId="0" xr:uid="{F8E87110-2A5B-4876-AADB-43AAF7A125EA}">
      <text>
        <r>
          <rPr>
            <b/>
            <sz val="8"/>
            <color indexed="81"/>
            <rFont val="Tahoma"/>
            <family val="2"/>
          </rPr>
          <t xml:space="preserve">Starting date for the State's current Program Year
</t>
        </r>
      </text>
    </comment>
    <comment ref="P2" authorId="0" shapeId="0" xr:uid="{7C25815D-F1A1-49FD-AB6F-993866A953CC}">
      <text>
        <r>
          <rPr>
            <b/>
            <sz val="8"/>
            <color indexed="81"/>
            <rFont val="Tahoma"/>
            <family val="2"/>
          </rPr>
          <t>Column C minus prior month's Column C
Calculated from LOCCS data (all expenditures less all expenditures thru prior month)</t>
        </r>
      </text>
    </comment>
    <comment ref="Q2" authorId="0" shapeId="0" xr:uid="{7F1781A6-D5BE-49A4-A6E8-3B982A75B7A8}">
      <text>
        <r>
          <rPr>
            <b/>
            <sz val="8"/>
            <color indexed="81"/>
            <rFont val="Tahoma"/>
            <family val="2"/>
          </rPr>
          <t>Month when the most recent grant amount changed in LOCCS.  If change occurred outside range, cell indicates "over 18 months ago".</t>
        </r>
      </text>
    </comment>
    <comment ref="N6" authorId="1" shapeId="0" xr:uid="{A2A12566-9272-451E-BA94-F6B7631DF693}">
      <text>
        <r>
          <rPr>
            <sz val="8"/>
            <color indexed="81"/>
            <rFont val="Tahoma"/>
            <family val="2"/>
          </rPr>
          <t xml:space="preserve">State changed PY start to July 1 for 2010 PY. 
PY 2009 extended to 18 months (1 Jan '09 - 30 Jun '10). </t>
        </r>
      </text>
    </comment>
  </commentList>
</comments>
</file>

<file path=xl/sharedStrings.xml><?xml version="1.0" encoding="utf-8"?>
<sst xmlns="http://schemas.openxmlformats.org/spreadsheetml/2006/main" count="3797" uniqueCount="312">
  <si>
    <t>Run Date: 04/30/2024                                            As of: 04/30/2024</t>
  </si>
  <si>
    <t>04/30/2024</t>
  </si>
  <si>
    <t>State Name</t>
  </si>
  <si>
    <t>Amount Of Open Grants</t>
  </si>
  <si>
    <t>Total Expended from Open Grants</t>
  </si>
  <si>
    <t>Total Unexpended from Open Grants</t>
  </si>
  <si>
    <t>Amount Expended Last 12 Months</t>
  </si>
  <si>
    <t>Most Recent Grant Amount</t>
  </si>
  <si>
    <t>Ratio Unexpended To Grant</t>
  </si>
  <si>
    <t>Ratio Expended Last 12 Months to Grant</t>
  </si>
  <si>
    <t>Avg monthly expenditure last 12 mos</t>
  </si>
  <si>
    <t>Months remaining to goal</t>
  </si>
  <si>
    <t>Projected bal 60 days before end of PY</t>
  </si>
  <si>
    <t>Monthly spending to reach 2x goal</t>
  </si>
  <si>
    <t>Monthly spending to reach 2.5x goal</t>
  </si>
  <si>
    <t xml:space="preserve"> PY Start</t>
  </si>
  <si>
    <t>Current Pgm Yr start</t>
  </si>
  <si>
    <t>latest month's expenditure</t>
  </si>
  <si>
    <t>Most Recent Grant Appeared in LOCCS</t>
  </si>
  <si>
    <t>FLORIDA</t>
  </si>
  <si>
    <t>NA</t>
  </si>
  <si>
    <t>NORTH CAROLINA</t>
  </si>
  <si>
    <t>WEST VIRGINIA</t>
  </si>
  <si>
    <t>ILLINOIS</t>
  </si>
  <si>
    <t>MICHIGAN</t>
  </si>
  <si>
    <t>MONTANA</t>
  </si>
  <si>
    <t>WYOMING</t>
  </si>
  <si>
    <t>MINNESOTA</t>
  </si>
  <si>
    <t>PUERTO RICO</t>
  </si>
  <si>
    <t>ARKANSAS</t>
  </si>
  <si>
    <t>SOUTH CAROLINA</t>
  </si>
  <si>
    <t>NEW MEXICO</t>
  </si>
  <si>
    <t>KENTUCKY</t>
  </si>
  <si>
    <t>MISSOURI</t>
  </si>
  <si>
    <t>CALIFORNIA</t>
  </si>
  <si>
    <t>VIRGINIA</t>
  </si>
  <si>
    <t>COLORADO</t>
  </si>
  <si>
    <t>NORTH DAKOTA</t>
  </si>
  <si>
    <t>CONNECTICUT</t>
  </si>
  <si>
    <t>NEBRASKA</t>
  </si>
  <si>
    <t>RHODE ISLAND</t>
  </si>
  <si>
    <t>NEW YORK</t>
  </si>
  <si>
    <t>on track</t>
  </si>
  <si>
    <t>SOUTH DAKOTA</t>
  </si>
  <si>
    <t>NEW JERSEY</t>
  </si>
  <si>
    <t>PENNSYLVANIA</t>
  </si>
  <si>
    <t>MARYLAND</t>
  </si>
  <si>
    <t>ALASKA</t>
  </si>
  <si>
    <t>OREGON</t>
  </si>
  <si>
    <t>MISSISSIPPI</t>
  </si>
  <si>
    <t>GEORGIA</t>
  </si>
  <si>
    <t>IOWA</t>
  </si>
  <si>
    <t>WASHINGTON</t>
  </si>
  <si>
    <t>TEXAS</t>
  </si>
  <si>
    <t>MASSACHUSETTS</t>
  </si>
  <si>
    <t>KANSAS</t>
  </si>
  <si>
    <t>TENNESSEE</t>
  </si>
  <si>
    <t>NEVADA</t>
  </si>
  <si>
    <t>LOUISIANA</t>
  </si>
  <si>
    <t>VERMONT</t>
  </si>
  <si>
    <t>IDAHO</t>
  </si>
  <si>
    <t>ALABAMA</t>
  </si>
  <si>
    <t>OKLAHOMA</t>
  </si>
  <si>
    <t>INDIANA</t>
  </si>
  <si>
    <t>NEW HAMPSHIRE</t>
  </si>
  <si>
    <t>ARIZONA</t>
  </si>
  <si>
    <t>OHIO</t>
  </si>
  <si>
    <t>WISCONSIN</t>
  </si>
  <si>
    <t>MAINE</t>
  </si>
  <si>
    <t>UTAH</t>
  </si>
  <si>
    <t>DELAWARE</t>
  </si>
  <si>
    <t>TOTALS:</t>
  </si>
  <si>
    <t>Number of states with unexpended balance greater than 2.5:</t>
  </si>
  <si>
    <t>Number of states with expenditure rate less than 1:</t>
  </si>
  <si>
    <t>Run Date: 05/31/2024                                            As of: 05/31/2024</t>
  </si>
  <si>
    <t>05/31/2024</t>
  </si>
  <si>
    <t>Run Date: 06/28/2024                                            As of: 06/30/2024</t>
  </si>
  <si>
    <t>06/30/2024</t>
  </si>
  <si>
    <t>Run Date: 07/31/2024                                            As of: 07/31/2024</t>
  </si>
  <si>
    <t>07/31/2024</t>
  </si>
  <si>
    <t>Run Date: 08/30/2024                                            As of: 08/31/2024</t>
  </si>
  <si>
    <t>08/31/2024</t>
  </si>
  <si>
    <t>Run Date: 09/30/2024                                            As of: 09/30/2024</t>
  </si>
  <si>
    <t>09/30/2024</t>
  </si>
  <si>
    <t>Run Date: 10/31/2024                                            As of: 10/31/2024</t>
  </si>
  <si>
    <t>10/31/2024</t>
  </si>
  <si>
    <t>Run Date: 11/29/2024                                            As of: 11/30/2024</t>
  </si>
  <si>
    <t>11/30/2024</t>
  </si>
  <si>
    <t>Run Date: 12/31/2024                                            As of: 12/31/2024</t>
  </si>
  <si>
    <t>12/31/2024</t>
  </si>
  <si>
    <t>Run Date: 01/31/2025                                            As of: 01/31/2025</t>
  </si>
  <si>
    <t>01/31/2025</t>
  </si>
  <si>
    <t>Run Date: 02/28/2025                                            As of: 02/28/2025</t>
  </si>
  <si>
    <t>02/28/2025</t>
  </si>
  <si>
    <t>Run Date: 03/31/2025                                            As of: 03/31/2025</t>
  </si>
  <si>
    <t>03/31/2025</t>
  </si>
  <si>
    <t>Run Date: 05/30/2025                                            As of: 05/31/2025</t>
  </si>
  <si>
    <t>05/31/2025</t>
  </si>
  <si>
    <t>Run Date: 06/30/2025                                            As of: 06/30/2025</t>
  </si>
  <si>
    <t>06/30/2025</t>
  </si>
  <si>
    <t>Run Date: 07/31/2025                                            As of: 07/31/2025</t>
  </si>
  <si>
    <t>07/31/2025</t>
  </si>
  <si>
    <t>Run Date: 08/29/2025                                            As of: 08/31/2025</t>
  </si>
  <si>
    <t>08/31/2025</t>
  </si>
  <si>
    <t>Run Date: 09/30/2025                                            As of: 09/30/2025</t>
  </si>
  <si>
    <t>09/30/2025</t>
  </si>
  <si>
    <t>Run Date: 10/31/2025                                            As of: 10/31/2025</t>
  </si>
  <si>
    <t>10/31/2025</t>
  </si>
  <si>
    <t>Run Date: 11/28/2025                                            As of: 11/30/2025</t>
  </si>
  <si>
    <t>11/30/2025</t>
  </si>
  <si>
    <t>Run Date: 12/31/2025                                            As of: 12/31/2025</t>
  </si>
  <si>
    <t>12/31/2025</t>
  </si>
  <si>
    <t>Run Date: 01/30/2026                                            As of: 01/31/2026</t>
  </si>
  <si>
    <t>01/31/2026</t>
  </si>
  <si>
    <t>Run Date: 02/27/2026                                            As of: 02/28/2026</t>
  </si>
  <si>
    <t>02/28/2026</t>
  </si>
  <si>
    <t>Run Date: 03/31/2026                                            As of: 03/31/2026</t>
  </si>
  <si>
    <t>03/31/2026</t>
  </si>
  <si>
    <t>Run Date: 04/30/2026                                            As of: 04/30/2026</t>
  </si>
  <si>
    <t>04/30/2026</t>
  </si>
  <si>
    <t>All States</t>
  </si>
  <si>
    <t>FY 2024 Grants</t>
  </si>
  <si>
    <t>FY 2025 Grants</t>
  </si>
  <si>
    <t>Unexpended Ratio</t>
  </si>
  <si>
    <t>Unexpended $$ (billions)</t>
  </si>
  <si>
    <t>Expenditure Ratio</t>
  </si>
  <si>
    <t>Enter your State abbreviation in cell A2 to see chart for your state:</t>
  </si>
  <si>
    <t>AK</t>
  </si>
  <si>
    <t>Current Program Year Start:</t>
  </si>
  <si>
    <t>Most Recent Grant Amount:</t>
  </si>
  <si>
    <t>Rank by Unexpended ratio (average ratio last 12 mo):</t>
  </si>
  <si>
    <t>latest month's expenditure:</t>
  </si>
  <si>
    <t>Rank by Expenditure Rate (average rate last 12 mo):</t>
  </si>
  <si>
    <t>Expenditure Rate</t>
  </si>
  <si>
    <t>Rank within Program Year Group</t>
  </si>
  <si>
    <t>Program Yr start</t>
  </si>
  <si>
    <t xml:space="preserve">Rank by Unexpended ratio </t>
  </si>
  <si>
    <t>12 Month Average Unexpended Ratio</t>
  </si>
  <si>
    <t xml:space="preserve">Rank by 12 mo. average </t>
  </si>
  <si>
    <t>Ratio Average Expenditure (12 mo.) to Grant Amount</t>
  </si>
  <si>
    <t>Rank by Expenditure Rate</t>
  </si>
  <si>
    <t>12 Month Average Expenditure Rate</t>
  </si>
  <si>
    <t>PY Rank by Expend rate (12 mo avg)</t>
  </si>
  <si>
    <t>Rank among all State Grantees</t>
  </si>
  <si>
    <t>Past Trends for Ratios of Unexpended Funds to Grant, by State</t>
  </si>
  <si>
    <t>12 month trends</t>
  </si>
  <si>
    <t>Rank</t>
  </si>
  <si>
    <t>Past Trends for Ratios of Average 12 Month Spending to Grant Amount, by State</t>
  </si>
  <si>
    <t>State</t>
  </si>
  <si>
    <t>Max</t>
  </si>
  <si>
    <t>Min</t>
  </si>
  <si>
    <t>Average</t>
  </si>
  <si>
    <t>Rank by avg Unspent ratio (ascend)</t>
  </si>
  <si>
    <t>12 month Avg Expend Ratio</t>
  </si>
  <si>
    <t>Rank by avg expend ratio (descend)</t>
  </si>
  <si>
    <t>Apr</t>
  </si>
  <si>
    <t>AL</t>
  </si>
  <si>
    <t>Jul</t>
  </si>
  <si>
    <t>AZ</t>
  </si>
  <si>
    <t>AR</t>
  </si>
  <si>
    <t>CA</t>
  </si>
  <si>
    <t>CO</t>
  </si>
  <si>
    <t>CT</t>
  </si>
  <si>
    <t>DE</t>
  </si>
  <si>
    <t>FL</t>
  </si>
  <si>
    <t>GA</t>
  </si>
  <si>
    <t>ID</t>
  </si>
  <si>
    <t>Jan</t>
  </si>
  <si>
    <t>IL</t>
  </si>
  <si>
    <t>IN</t>
  </si>
  <si>
    <t>IA</t>
  </si>
  <si>
    <t>KS</t>
  </si>
  <si>
    <t>KY</t>
  </si>
  <si>
    <t>LA</t>
  </si>
  <si>
    <t>ME</t>
  </si>
  <si>
    <t>MD</t>
  </si>
  <si>
    <t>MA</t>
  </si>
  <si>
    <t>MI</t>
  </si>
  <si>
    <t>Oct</t>
  </si>
  <si>
    <t>MN</t>
  </si>
  <si>
    <t>MS</t>
  </si>
  <si>
    <t>MO</t>
  </si>
  <si>
    <t>MT</t>
  </si>
  <si>
    <t>NE</t>
  </si>
  <si>
    <t>NV</t>
  </si>
  <si>
    <t>NH</t>
  </si>
  <si>
    <t>NJ</t>
  </si>
  <si>
    <t>NM</t>
  </si>
  <si>
    <t>NY</t>
  </si>
  <si>
    <t>NC</t>
  </si>
  <si>
    <t>ND</t>
  </si>
  <si>
    <t>OH</t>
  </si>
  <si>
    <t>OK</t>
  </si>
  <si>
    <t>OR</t>
  </si>
  <si>
    <t>PA</t>
  </si>
  <si>
    <t>PR</t>
  </si>
  <si>
    <t>RI</t>
  </si>
  <si>
    <t>SC</t>
  </si>
  <si>
    <t>SD</t>
  </si>
  <si>
    <t>TN</t>
  </si>
  <si>
    <t>Feb</t>
  </si>
  <si>
    <t>TX</t>
  </si>
  <si>
    <t>UT</t>
  </si>
  <si>
    <t>VT</t>
  </si>
  <si>
    <t>VA</t>
  </si>
  <si>
    <t>WA</t>
  </si>
  <si>
    <t>WV</t>
  </si>
  <si>
    <t>WI</t>
  </si>
  <si>
    <t>WY</t>
  </si>
  <si>
    <t>Totals:</t>
  </si>
  <si>
    <t>US</t>
  </si>
  <si>
    <t>Total Unexpended</t>
  </si>
  <si>
    <r>
      <rPr>
        <sz val="8"/>
        <rFont val="Calibri"/>
        <family val="2"/>
      </rPr>
      <t>($$ in billions)</t>
    </r>
    <r>
      <rPr>
        <sz val="10"/>
        <rFont val="Calibri"/>
        <family val="2"/>
      </rPr>
      <t>:</t>
    </r>
  </si>
  <si>
    <t>Guide to Timely Expenditure LOCCS Report Table</t>
  </si>
  <si>
    <t>Column</t>
  </si>
  <si>
    <t>Column Title</t>
  </si>
  <si>
    <t>Column Description</t>
  </si>
  <si>
    <t>A</t>
  </si>
  <si>
    <t>Full name of State
(States are sorted by "Ratio Unexpended to Grant" in Col G)</t>
  </si>
  <si>
    <t>B</t>
  </si>
  <si>
    <t>Amount Of Open Grants (Hidden)</t>
  </si>
  <si>
    <t>Total Grants for all years listed in LOCCS</t>
  </si>
  <si>
    <t>C</t>
  </si>
  <si>
    <t>Total Expended from Open Grants (Hidden)</t>
  </si>
  <si>
    <t>Total expenditures for all grant years recorded in LOCCS</t>
  </si>
  <si>
    <t>D</t>
  </si>
  <si>
    <t>Column B minus Column C
Calculated from LOCCS data (all grants less all expenditures)</t>
  </si>
  <si>
    <t>E</t>
  </si>
  <si>
    <t>Total of previous 12 months expenditures recorded in LOCCS</t>
  </si>
  <si>
    <t>F</t>
  </si>
  <si>
    <t>As shown in LOCCS</t>
  </si>
  <si>
    <t>G</t>
  </si>
  <si>
    <t>Column D divided by Column F
Indicates # of years of funds available in terms of latest grant amt.</t>
  </si>
  <si>
    <t>H</t>
  </si>
  <si>
    <t>Column E divided by Column F
This draw-down rate should be 1 or more to avoid increasing balances.</t>
  </si>
  <si>
    <t>I</t>
  </si>
  <si>
    <t>avg monthly expenditure last 12 mos</t>
  </si>
  <si>
    <t>Column E divided by 12
Indicates average dollar amount spent each of the last 12 months.</t>
  </si>
  <si>
    <t>J</t>
  </si>
  <si>
    <t>mos remaining to goal</t>
  </si>
  <si>
    <t>Indicates the number of months remaining until 60 days before end of current Program Year.</t>
  </si>
  <si>
    <t>K</t>
  </si>
  <si>
    <t xml:space="preserve">Column D minus (Column I times Column J)
Expected balance at 60 days before end of Program Year if expenditures continue at previous 12-month rate. </t>
  </si>
  <si>
    <t>L</t>
  </si>
  <si>
    <t>monthly spending to reach 2x goal</t>
  </si>
  <si>
    <t>Monthly expenditure in dollars required to reduce unexpended balance to 2 times most recent grant amount by 60 days prior to end of current Program Year.</t>
  </si>
  <si>
    <t>M</t>
  </si>
  <si>
    <t>monthly spending to reach 2.5x goal</t>
  </si>
  <si>
    <t>Monthly expenditure in dollars required to reduce unexpended balance to 2.5 times most recent grant amount by 60 days prior to end of current Program Year.</t>
  </si>
  <si>
    <t>N</t>
  </si>
  <si>
    <t>PY Start (Hidden)</t>
  </si>
  <si>
    <t>First month of new program year</t>
  </si>
  <si>
    <t>O</t>
  </si>
  <si>
    <t>Starting date for the State's current Program Year</t>
  </si>
  <si>
    <t>P</t>
  </si>
  <si>
    <t>latest month's expenditure (Hidden)</t>
  </si>
  <si>
    <t>Column C minus prior month's Column C
Calculated from LOCCS data (all expenditures less all expenditures thru prior month)</t>
  </si>
  <si>
    <t>Q</t>
  </si>
  <si>
    <t>Returns the Month when the "most recent grant amount" changed, if change occurred prior to 18 months ago, cell returns note.</t>
  </si>
  <si>
    <t>Run Date:</t>
  </si>
  <si>
    <t>Current Month:</t>
  </si>
  <si>
    <t>As of:</t>
  </si>
  <si>
    <t>Past Months:</t>
  </si>
  <si>
    <t>should appear in MM/DD/YYYY format</t>
  </si>
  <si>
    <t xml:space="preserve">LOCCS Data Checks </t>
  </si>
  <si>
    <t>Check Total for "Amount of Open Grants"</t>
  </si>
  <si>
    <t>Check Total for "Total Expended from Open Grant"</t>
  </si>
  <si>
    <t>Check Total for "Amount Expended in Last 12 Months"</t>
  </si>
  <si>
    <t>Check Total for "Most Recent Grant Amount"</t>
  </si>
  <si>
    <t>Check "Ratio Unexpended to Grant" per State</t>
  </si>
  <si>
    <t>Check "Ratio Expended Last 12 Months" per State</t>
  </si>
  <si>
    <t xml:space="preserve">   Paste data from the text import of Rankings below line (with cursor in cell A19)</t>
  </si>
  <si>
    <t>A67CAAA</t>
  </si>
  <si>
    <t>U.S. Depart</t>
  </si>
  <si>
    <t>ment of Housing and</t>
  </si>
  <si>
    <t>Urban Development</t>
  </si>
  <si>
    <t>Page:   52</t>
  </si>
  <si>
    <t>Run Date:  04/30/</t>
  </si>
  <si>
    <t>Line</t>
  </si>
  <si>
    <t>of Credit Control Sy</t>
  </si>
  <si>
    <t>stem (LOCCS)</t>
  </si>
  <si>
    <t>As of:  04/30/</t>
  </si>
  <si>
    <t>State A</t>
  </si>
  <si>
    <t>llocation of Expendi</t>
  </si>
  <si>
    <t>ture Report</t>
  </si>
  <si>
    <t>For</t>
  </si>
  <si>
    <t>CPD Block Grant Prog</t>
  </si>
  <si>
    <t>rams</t>
  </si>
  <si>
    <t>Stat</t>
  </si>
  <si>
    <t>e Rankings</t>
  </si>
  <si>
    <t>-----------------</t>
  </si>
  <si>
    <t>--------------------</t>
  </si>
  <si>
    <t>------------</t>
  </si>
  <si>
    <t>-------</t>
  </si>
  <si>
    <t>-----</t>
  </si>
  <si>
    <t>Amount Of</t>
  </si>
  <si>
    <t>Total Expended</t>
  </si>
  <si>
    <t>Amount Expended</t>
  </si>
  <si>
    <t>Most Recent</t>
  </si>
  <si>
    <t>Ratio Unex</t>
  </si>
  <si>
    <t>pend  Ratio Expen</t>
  </si>
  <si>
    <t>ded Last</t>
  </si>
  <si>
    <t>d Last</t>
  </si>
  <si>
    <t xml:space="preserve"> </t>
  </si>
  <si>
    <t>Open Grants</t>
  </si>
  <si>
    <t>from Open Grant</t>
  </si>
  <si>
    <t>s     Last 12 Months</t>
  </si>
  <si>
    <t>Grant  Amount</t>
  </si>
  <si>
    <t>ant   12 Months t</t>
  </si>
  <si>
    <t>o Grant</t>
  </si>
  <si>
    <t>Grant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</si>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</sst>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mm/dd/yy"/>
    <numFmt numFmtId="166" formatCode="m/d/yy"/>
    <numFmt numFmtId="167" formatCode="&quot;$&quot;#,##0"/>
    <numFmt numFmtId="168" formatCode="&quot;$&quot;#,##0.00"/>
    <numFmt numFmtId="169" formatCode="mmm\'yy"/>
    <numFmt numFmtId="170" formatCode="m/d/yy;@"/>
    <numFmt numFmtId="171" formatCode="mmm"/>
  </numFmts>
  <fonts count="54" x14ac:knownFonts="1">
    <font>
      <sz val="10"/>
      <name val="Arial"/>
    </font>
    <font>
      <sz val="7"/>
      <name val="Arial"/>
      <family val="2"/>
    </font>
    <font>
      <b/>
      <sz val="7"/>
      <name val="Arial"/>
      <family val="2"/>
    </font>
    <font>
      <u/>
      <sz val="7"/>
      <name val="Arial"/>
      <family val="2"/>
    </font>
    <font>
      <sz val="9"/>
      <name val="Arial"/>
      <family val="2"/>
    </font>
    <font>
      <b/>
      <sz val="10"/>
      <name val="Arial"/>
      <family val="2"/>
    </font>
    <font>
      <sz val="10"/>
      <name val="Arial"/>
      <family val="2"/>
    </font>
    <font>
      <sz val="8"/>
      <name val="Arial"/>
      <family val="2"/>
    </font>
    <font>
      <sz val="8"/>
      <color indexed="81"/>
      <name val="Tahoma"/>
      <family val="2"/>
    </font>
    <font>
      <b/>
      <sz val="8"/>
      <color indexed="81"/>
      <name val="Tahoma"/>
      <family val="2"/>
    </font>
    <font>
      <sz val="10"/>
      <name val="Calibri"/>
      <family val="2"/>
    </font>
    <font>
      <sz val="8"/>
      <name val="Calibri"/>
      <family val="2"/>
    </font>
    <font>
      <b/>
      <i/>
      <sz val="9"/>
      <name val="Times New Roman"/>
      <family val="1"/>
    </font>
    <font>
      <b/>
      <sz val="9"/>
      <name val="Times New Roman"/>
      <family val="1"/>
    </font>
    <font>
      <sz val="10"/>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u/>
      <sz val="11"/>
      <color theme="1"/>
      <name val="Calibri"/>
      <family val="2"/>
      <scheme val="minor"/>
    </font>
    <font>
      <sz val="10"/>
      <name val="Calibri"/>
      <family val="2"/>
      <scheme val="minor"/>
    </font>
    <font>
      <sz val="11"/>
      <name val="Calibri"/>
      <family val="2"/>
      <scheme val="minor"/>
    </font>
    <font>
      <sz val="8"/>
      <name val="Calibri"/>
      <family val="2"/>
      <scheme val="minor"/>
    </font>
    <font>
      <b/>
      <sz val="10"/>
      <name val="Calibri"/>
      <family val="2"/>
      <scheme val="minor"/>
    </font>
    <font>
      <sz val="9"/>
      <name val="Calibri"/>
      <family val="2"/>
      <scheme val="minor"/>
    </font>
    <font>
      <b/>
      <sz val="9"/>
      <name val="Calibri"/>
      <family val="2"/>
      <scheme val="minor"/>
    </font>
    <font>
      <b/>
      <u/>
      <sz val="9"/>
      <name val="Calibri"/>
      <family val="2"/>
      <scheme val="minor"/>
    </font>
    <font>
      <sz val="11"/>
      <color indexed="24"/>
      <name val="Calibri"/>
      <family val="2"/>
      <scheme val="minor"/>
    </font>
    <font>
      <b/>
      <u/>
      <sz val="11"/>
      <name val="Calibri"/>
      <family val="2"/>
      <scheme val="minor"/>
    </font>
    <font>
      <b/>
      <sz val="11"/>
      <name val="Calibri"/>
      <family val="2"/>
      <scheme val="minor"/>
    </font>
    <font>
      <b/>
      <u/>
      <sz val="10"/>
      <name val="Calibri"/>
      <family val="2"/>
      <scheme val="minor"/>
    </font>
    <font>
      <b/>
      <u/>
      <sz val="12"/>
      <name val="Calibri"/>
      <family val="2"/>
      <scheme val="minor"/>
    </font>
    <font>
      <b/>
      <sz val="16"/>
      <color theme="1"/>
      <name val="Calibri"/>
      <family val="2"/>
      <scheme val="minor"/>
    </font>
    <font>
      <sz val="10"/>
      <color theme="0"/>
      <name val="Calibri"/>
      <family val="2"/>
      <scheme val="minor"/>
    </font>
    <font>
      <b/>
      <sz val="10"/>
      <color theme="0"/>
      <name val="Calibri"/>
      <family val="2"/>
      <scheme val="minor"/>
    </font>
    <font>
      <i/>
      <sz val="11"/>
      <color theme="1"/>
      <name val="Calibri"/>
      <family val="2"/>
      <scheme val="minor"/>
    </font>
    <font>
      <b/>
      <sz val="14"/>
      <color theme="1"/>
      <name val="Calibri"/>
      <family val="2"/>
      <scheme val="minor"/>
    </font>
    <font>
      <b/>
      <sz val="12"/>
      <name val="Calibri"/>
      <family val="2"/>
      <scheme val="minor"/>
    </font>
    <font>
      <b/>
      <i/>
      <sz val="10"/>
      <color rgb="FF339966"/>
      <name val="Arial"/>
      <family val="2"/>
    </font>
  </fonts>
  <fills count="36">
    <fill>
      <patternFill patternType="none"/>
    </fill>
    <fill>
      <patternFill patternType="gray125"/>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7" tint="0.79998168889431442"/>
        <bgColor indexed="64"/>
      </patternFill>
    </fill>
  </fills>
  <borders count="5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top style="thin">
        <color indexed="64"/>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2">
    <xf numFmtId="0" fontId="0" fillId="0" borderId="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5"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8" fillId="28" borderId="48" applyNumberFormat="0" applyAlignment="0" applyProtection="0"/>
    <xf numFmtId="0" fontId="18" fillId="28" borderId="48" applyNumberFormat="0" applyAlignment="0" applyProtection="0"/>
    <xf numFmtId="0" fontId="19" fillId="29" borderId="49" applyNumberFormat="0" applyAlignment="0" applyProtection="0"/>
    <xf numFmtId="0" fontId="19" fillId="29" borderId="49"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2" fillId="0" borderId="50" applyNumberFormat="0" applyFill="0" applyAlignment="0" applyProtection="0"/>
    <xf numFmtId="0" fontId="22" fillId="0" borderId="50" applyNumberFormat="0" applyFill="0" applyAlignment="0" applyProtection="0"/>
    <xf numFmtId="0" fontId="23" fillId="0" borderId="51" applyNumberFormat="0" applyFill="0" applyAlignment="0" applyProtection="0"/>
    <xf numFmtId="0" fontId="23" fillId="0" borderId="51" applyNumberFormat="0" applyFill="0" applyAlignment="0" applyProtection="0"/>
    <xf numFmtId="0" fontId="24" fillId="0" borderId="52" applyNumberFormat="0" applyFill="0" applyAlignment="0" applyProtection="0"/>
    <xf numFmtId="0" fontId="24" fillId="0" borderId="5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31" borderId="48" applyNumberFormat="0" applyAlignment="0" applyProtection="0"/>
    <xf numFmtId="0" fontId="25" fillId="31" borderId="48" applyNumberFormat="0" applyAlignment="0" applyProtection="0"/>
    <xf numFmtId="0" fontId="26" fillId="0" borderId="53" applyNumberFormat="0" applyFill="0" applyAlignment="0" applyProtection="0"/>
    <xf numFmtId="0" fontId="26" fillId="0" borderId="53" applyNumberFormat="0" applyFill="0" applyAlignment="0" applyProtection="0"/>
    <xf numFmtId="0" fontId="27" fillId="32" borderId="0" applyNumberFormat="0" applyBorder="0" applyAlignment="0" applyProtection="0"/>
    <xf numFmtId="0" fontId="27" fillId="32" borderId="0" applyNumberFormat="0" applyBorder="0" applyAlignment="0" applyProtection="0"/>
    <xf numFmtId="0" fontId="28" fillId="32" borderId="0" applyNumberFormat="0" applyBorder="0" applyAlignment="0" applyProtection="0"/>
    <xf numFmtId="0" fontId="6" fillId="0" borderId="0"/>
    <xf numFmtId="0" fontId="15" fillId="0" borderId="0"/>
    <xf numFmtId="0" fontId="15" fillId="33" borderId="54" applyNumberFormat="0" applyFont="0" applyAlignment="0" applyProtection="0"/>
    <xf numFmtId="0" fontId="15" fillId="33" borderId="54" applyNumberFormat="0" applyFont="0" applyAlignment="0" applyProtection="0"/>
    <xf numFmtId="0" fontId="29" fillId="28" borderId="55" applyNumberFormat="0" applyAlignment="0" applyProtection="0"/>
    <xf numFmtId="0" fontId="29" fillId="28" borderId="5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56" applyNumberFormat="0" applyFill="0" applyAlignment="0" applyProtection="0"/>
    <xf numFmtId="0" fontId="32" fillId="0" borderId="5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2">
    <xf numFmtId="0" fontId="0" fillId="0" borderId="0" xfId="0"/>
    <xf numFmtId="2" fontId="7" fillId="0" borderId="0" xfId="0" applyNumberFormat="1" applyFont="1"/>
    <xf numFmtId="2" fontId="7" fillId="0" borderId="1" xfId="0" applyNumberFormat="1" applyFont="1" applyBorder="1"/>
    <xf numFmtId="2" fontId="7" fillId="0" borderId="2" xfId="0" applyNumberFormat="1" applyFont="1" applyBorder="1"/>
    <xf numFmtId="0" fontId="1" fillId="0" borderId="3" xfId="80" applyFont="1" applyBorder="1" applyAlignment="1">
      <alignment horizontal="left" vertical="center" wrapText="1"/>
    </xf>
    <xf numFmtId="3" fontId="6" fillId="0" borderId="0" xfId="80" applyNumberFormat="1" applyAlignment="1">
      <alignment vertical="center" wrapText="1"/>
    </xf>
    <xf numFmtId="0" fontId="6" fillId="0" borderId="0" xfId="80" applyAlignment="1">
      <alignment horizontal="right" vertical="center" wrapText="1"/>
    </xf>
    <xf numFmtId="0" fontId="6" fillId="0" borderId="0" xfId="80" applyAlignment="1">
      <alignment vertical="center" wrapText="1"/>
    </xf>
    <xf numFmtId="0" fontId="6" fillId="0" borderId="0" xfId="80" applyAlignment="1">
      <alignment wrapText="1"/>
    </xf>
    <xf numFmtId="0" fontId="1" fillId="0" borderId="4" xfId="80" applyFont="1" applyBorder="1" applyAlignment="1">
      <alignment horizontal="left" vertical="center" wrapText="1"/>
    </xf>
    <xf numFmtId="3" fontId="1" fillId="0" borderId="4" xfId="80" applyNumberFormat="1" applyFont="1" applyBorder="1" applyAlignment="1">
      <alignment horizontal="center" vertical="center" wrapText="1"/>
    </xf>
    <xf numFmtId="0" fontId="1" fillId="0" borderId="4" xfId="80" applyFont="1" applyBorder="1" applyAlignment="1">
      <alignment horizontal="center" vertical="center" wrapText="1"/>
    </xf>
    <xf numFmtId="0" fontId="1" fillId="0" borderId="5" xfId="80" applyFont="1" applyBorder="1" applyAlignment="1">
      <alignment horizontal="left" vertical="center" wrapText="1"/>
    </xf>
    <xf numFmtId="3" fontId="1" fillId="0" borderId="5" xfId="80" applyNumberFormat="1" applyFont="1" applyBorder="1" applyAlignment="1">
      <alignment horizontal="right" vertical="center"/>
    </xf>
    <xf numFmtId="2" fontId="1" fillId="0" borderId="5" xfId="80" applyNumberFormat="1" applyFont="1" applyBorder="1" applyAlignment="1">
      <alignment horizontal="right" vertical="center"/>
    </xf>
    <xf numFmtId="0" fontId="1" fillId="0" borderId="5" xfId="80" applyFont="1" applyBorder="1" applyAlignment="1">
      <alignment horizontal="center" wrapText="1"/>
    </xf>
    <xf numFmtId="166" fontId="1" fillId="0" borderId="5" xfId="80" applyNumberFormat="1" applyFont="1" applyBorder="1" applyAlignment="1">
      <alignment horizontal="right" vertical="center"/>
    </xf>
    <xf numFmtId="0" fontId="6" fillId="0" borderId="0" xfId="80" applyAlignment="1">
      <alignment vertical="center"/>
    </xf>
    <xf numFmtId="3" fontId="1" fillId="0" borderId="6" xfId="80" applyNumberFormat="1" applyFont="1" applyBorder="1" applyAlignment="1">
      <alignment horizontal="right" vertical="center"/>
    </xf>
    <xf numFmtId="0" fontId="2" fillId="0" borderId="0" xfId="80" applyFont="1" applyAlignment="1">
      <alignment horizontal="right" vertical="center" wrapText="1"/>
    </xf>
    <xf numFmtId="3" fontId="3" fillId="0" borderId="0" xfId="80" applyNumberFormat="1" applyFont="1" applyAlignment="1">
      <alignment horizontal="right" vertical="center"/>
    </xf>
    <xf numFmtId="2" fontId="1" fillId="0" borderId="0" xfId="80" applyNumberFormat="1" applyFont="1" applyAlignment="1">
      <alignment horizontal="right" vertical="center"/>
    </xf>
    <xf numFmtId="3" fontId="1" fillId="0" borderId="0" xfId="80" applyNumberFormat="1" applyFont="1" applyAlignment="1">
      <alignment vertical="center"/>
    </xf>
    <xf numFmtId="3" fontId="6" fillId="0" borderId="0" xfId="80" applyNumberFormat="1" applyAlignment="1">
      <alignment vertical="center"/>
    </xf>
    <xf numFmtId="0" fontId="6" fillId="0" borderId="7" xfId="80" applyBorder="1" applyAlignment="1">
      <alignment horizontal="right"/>
    </xf>
    <xf numFmtId="0" fontId="6" fillId="0" borderId="8" xfId="80" applyBorder="1" applyAlignment="1">
      <alignment horizontal="right"/>
    </xf>
    <xf numFmtId="0" fontId="6" fillId="0" borderId="0" xfId="80" applyAlignment="1">
      <alignment horizontal="right" vertical="center"/>
    </xf>
    <xf numFmtId="0" fontId="6" fillId="0" borderId="9" xfId="80" applyBorder="1" applyAlignment="1">
      <alignment horizontal="right"/>
    </xf>
    <xf numFmtId="0" fontId="6" fillId="0" borderId="10" xfId="80" applyBorder="1" applyAlignment="1">
      <alignment horizontal="right"/>
    </xf>
    <xf numFmtId="0" fontId="15" fillId="6" borderId="0" xfId="7"/>
    <xf numFmtId="3" fontId="6" fillId="0" borderId="0" xfId="80" applyNumberFormat="1"/>
    <xf numFmtId="3" fontId="1" fillId="0" borderId="11" xfId="80" applyNumberFormat="1" applyFont="1" applyBorder="1" applyAlignment="1">
      <alignment horizontal="right" vertical="center"/>
    </xf>
    <xf numFmtId="3" fontId="6" fillId="0" borderId="11" xfId="80" applyNumberFormat="1" applyBorder="1"/>
    <xf numFmtId="3" fontId="6" fillId="0" borderId="11" xfId="80" applyNumberFormat="1" applyBorder="1" applyAlignment="1">
      <alignment vertical="center"/>
    </xf>
    <xf numFmtId="0" fontId="2" fillId="0" borderId="2" xfId="80" applyFont="1" applyBorder="1" applyAlignment="1">
      <alignment horizontal="right" vertical="center" wrapText="1"/>
    </xf>
    <xf numFmtId="0" fontId="15" fillId="6" borderId="0" xfId="7" applyAlignment="1">
      <alignment horizontal="right"/>
    </xf>
    <xf numFmtId="0" fontId="15" fillId="6" borderId="12" xfId="7" applyBorder="1"/>
    <xf numFmtId="0" fontId="15" fillId="6" borderId="0" xfId="7" applyBorder="1"/>
    <xf numFmtId="0" fontId="15" fillId="6" borderId="0" xfId="7" applyAlignment="1">
      <alignment horizontal="center"/>
    </xf>
    <xf numFmtId="2" fontId="7" fillId="0" borderId="13" xfId="0" applyNumberFormat="1" applyFont="1" applyBorder="1"/>
    <xf numFmtId="2" fontId="7" fillId="0" borderId="11" xfId="0" applyNumberFormat="1" applyFont="1" applyBorder="1"/>
    <xf numFmtId="2" fontId="7" fillId="0" borderId="14" xfId="0" applyNumberFormat="1" applyFont="1" applyBorder="1"/>
    <xf numFmtId="169" fontId="15" fillId="6" borderId="0" xfId="7" applyNumberFormat="1" applyAlignment="1">
      <alignment horizontal="center"/>
    </xf>
    <xf numFmtId="1" fontId="15" fillId="6" borderId="0" xfId="7" applyNumberFormat="1" applyAlignment="1">
      <alignment horizontal="center"/>
    </xf>
    <xf numFmtId="0" fontId="34" fillId="6" borderId="0" xfId="7" applyFont="1" applyBorder="1" applyAlignment="1">
      <alignment horizontal="right"/>
    </xf>
    <xf numFmtId="0" fontId="15" fillId="6" borderId="0" xfId="7" applyNumberFormat="1" applyAlignment="1">
      <alignment horizontal="center"/>
    </xf>
    <xf numFmtId="0" fontId="35" fillId="0" borderId="0" xfId="0" applyFont="1"/>
    <xf numFmtId="2" fontId="36" fillId="0" borderId="2" xfId="0" applyNumberFormat="1" applyFont="1" applyBorder="1" applyAlignment="1">
      <alignment vertical="top"/>
    </xf>
    <xf numFmtId="2" fontId="36" fillId="0" borderId="1" xfId="0" applyNumberFormat="1" applyFont="1" applyBorder="1" applyAlignment="1">
      <alignment vertical="top"/>
    </xf>
    <xf numFmtId="2" fontId="36" fillId="0" borderId="0" xfId="0" applyNumberFormat="1" applyFont="1" applyAlignment="1">
      <alignment vertical="top" wrapText="1"/>
    </xf>
    <xf numFmtId="2" fontId="36" fillId="0" borderId="0" xfId="0" applyNumberFormat="1" applyFont="1" applyAlignment="1">
      <alignment vertical="top"/>
    </xf>
    <xf numFmtId="0" fontId="35" fillId="0" borderId="0" xfId="0" applyFont="1" applyAlignment="1">
      <alignment vertical="top"/>
    </xf>
    <xf numFmtId="2" fontId="37" fillId="0" borderId="13" xfId="0" applyNumberFormat="1" applyFont="1" applyBorder="1"/>
    <xf numFmtId="2" fontId="37" fillId="0" borderId="11" xfId="0" applyNumberFormat="1" applyFont="1" applyBorder="1"/>
    <xf numFmtId="2" fontId="37" fillId="0" borderId="14" xfId="0" applyNumberFormat="1" applyFont="1" applyBorder="1"/>
    <xf numFmtId="2" fontId="37" fillId="0" borderId="2" xfId="0" applyNumberFormat="1" applyFont="1" applyBorder="1"/>
    <xf numFmtId="2" fontId="35" fillId="0" borderId="0" xfId="0" applyNumberFormat="1" applyFont="1"/>
    <xf numFmtId="2" fontId="37" fillId="0" borderId="0" xfId="0" applyNumberFormat="1" applyFont="1"/>
    <xf numFmtId="2" fontId="37" fillId="0" borderId="1" xfId="0" applyNumberFormat="1" applyFont="1" applyBorder="1"/>
    <xf numFmtId="0" fontId="38" fillId="0" borderId="0" xfId="0" applyFont="1" applyAlignment="1">
      <alignment horizontal="right"/>
    </xf>
    <xf numFmtId="168" fontId="37" fillId="0" borderId="0" xfId="0" applyNumberFormat="1" applyFont="1"/>
    <xf numFmtId="0" fontId="35" fillId="0" borderId="0" xfId="0" applyFont="1" applyAlignment="1">
      <alignment horizontal="center"/>
    </xf>
    <xf numFmtId="0" fontId="35" fillId="0" borderId="13" xfId="0" applyFont="1" applyBorder="1"/>
    <xf numFmtId="0" fontId="35" fillId="0" borderId="11" xfId="0" applyFont="1" applyBorder="1" applyAlignment="1">
      <alignment horizontal="center"/>
    </xf>
    <xf numFmtId="0" fontId="35" fillId="0" borderId="2" xfId="0" applyFont="1" applyBorder="1"/>
    <xf numFmtId="0" fontId="35" fillId="0" borderId="15" xfId="0" applyFont="1" applyBorder="1"/>
    <xf numFmtId="0" fontId="35" fillId="0" borderId="12" xfId="0" applyFont="1" applyBorder="1" applyAlignment="1">
      <alignment horizontal="center"/>
    </xf>
    <xf numFmtId="2" fontId="37" fillId="0" borderId="12" xfId="0" applyNumberFormat="1" applyFont="1" applyBorder="1"/>
    <xf numFmtId="2" fontId="37" fillId="0" borderId="16" xfId="0" applyNumberFormat="1" applyFont="1" applyBorder="1"/>
    <xf numFmtId="2" fontId="36" fillId="0" borderId="1" xfId="0" applyNumberFormat="1" applyFont="1" applyBorder="1" applyAlignment="1">
      <alignment vertical="top" wrapText="1"/>
    </xf>
    <xf numFmtId="2" fontId="37" fillId="0" borderId="15" xfId="0" applyNumberFormat="1" applyFont="1" applyBorder="1"/>
    <xf numFmtId="0" fontId="35" fillId="0" borderId="0" xfId="0" applyFont="1" applyAlignment="1">
      <alignment horizontal="right"/>
    </xf>
    <xf numFmtId="2" fontId="36" fillId="0" borderId="12" xfId="0" applyNumberFormat="1" applyFont="1" applyBorder="1" applyAlignment="1">
      <alignment vertical="top"/>
    </xf>
    <xf numFmtId="0" fontId="35" fillId="0" borderId="12" xfId="0" applyFont="1" applyBorder="1"/>
    <xf numFmtId="2" fontId="35" fillId="0" borderId="0" xfId="0" applyNumberFormat="1" applyFont="1" applyAlignment="1">
      <alignment horizontal="center"/>
    </xf>
    <xf numFmtId="0" fontId="35" fillId="0" borderId="11" xfId="0" applyFont="1" applyBorder="1" applyAlignment="1">
      <alignment horizontal="centerContinuous"/>
    </xf>
    <xf numFmtId="0" fontId="35" fillId="0" borderId="17" xfId="0" applyFont="1" applyBorder="1" applyAlignment="1">
      <alignment horizontal="center"/>
    </xf>
    <xf numFmtId="0" fontId="36" fillId="0" borderId="2" xfId="0" applyFont="1" applyBorder="1" applyAlignment="1">
      <alignment vertical="top"/>
    </xf>
    <xf numFmtId="0" fontId="35" fillId="0" borderId="0" xfId="0" applyFont="1" applyAlignment="1">
      <alignment vertical="top" wrapText="1"/>
    </xf>
    <xf numFmtId="0" fontId="36" fillId="0" borderId="0" xfId="0" applyFont="1" applyAlignment="1">
      <alignment vertical="top"/>
    </xf>
    <xf numFmtId="0" fontId="35" fillId="0" borderId="1" xfId="0" applyFont="1" applyBorder="1" applyAlignment="1">
      <alignment horizontal="center"/>
    </xf>
    <xf numFmtId="0" fontId="38" fillId="0" borderId="11" xfId="0" applyFont="1" applyBorder="1" applyAlignment="1">
      <alignment horizontal="right"/>
    </xf>
    <xf numFmtId="0" fontId="35" fillId="0" borderId="15" xfId="0" applyFont="1" applyBorder="1" applyAlignment="1">
      <alignment horizontal="right"/>
    </xf>
    <xf numFmtId="0" fontId="38" fillId="0" borderId="12" xfId="0" applyFont="1" applyBorder="1" applyAlignment="1">
      <alignment horizontal="right"/>
    </xf>
    <xf numFmtId="168" fontId="37" fillId="0" borderId="12" xfId="0" applyNumberFormat="1" applyFont="1" applyBorder="1"/>
    <xf numFmtId="0" fontId="35" fillId="0" borderId="13" xfId="0" applyFont="1" applyBorder="1" applyAlignment="1">
      <alignment horizontal="right"/>
    </xf>
    <xf numFmtId="0" fontId="35" fillId="0" borderId="2" xfId="0" applyFont="1" applyBorder="1" applyAlignment="1">
      <alignment horizontal="right"/>
    </xf>
    <xf numFmtId="2" fontId="36" fillId="0" borderId="18" xfId="0" applyNumberFormat="1" applyFont="1" applyBorder="1" applyAlignment="1">
      <alignment vertical="top" wrapText="1"/>
    </xf>
    <xf numFmtId="168" fontId="37" fillId="0" borderId="15" xfId="0" applyNumberFormat="1" applyFont="1" applyBorder="1"/>
    <xf numFmtId="0" fontId="35" fillId="0" borderId="19" xfId="0" applyFont="1" applyBorder="1" applyAlignment="1">
      <alignment horizontal="center"/>
    </xf>
    <xf numFmtId="2" fontId="35" fillId="0" borderId="6" xfId="0" applyNumberFormat="1" applyFont="1" applyBorder="1" applyAlignment="1">
      <alignment horizontal="center"/>
    </xf>
    <xf numFmtId="2" fontId="35" fillId="0" borderId="5" xfId="0" applyNumberFormat="1" applyFont="1" applyBorder="1" applyAlignment="1">
      <alignment horizontal="center"/>
    </xf>
    <xf numFmtId="0" fontId="39" fillId="0" borderId="0" xfId="0" applyFont="1"/>
    <xf numFmtId="1" fontId="39" fillId="0" borderId="0" xfId="0" applyNumberFormat="1" applyFont="1" applyAlignment="1">
      <alignment horizontal="center"/>
    </xf>
    <xf numFmtId="2" fontId="36" fillId="0" borderId="0" xfId="0" applyNumberFormat="1" applyFont="1"/>
    <xf numFmtId="0" fontId="36" fillId="0" borderId="0" xfId="0" applyFont="1"/>
    <xf numFmtId="0" fontId="35" fillId="0" borderId="11" xfId="0" applyFont="1" applyBorder="1"/>
    <xf numFmtId="0" fontId="35" fillId="0" borderId="14" xfId="0" applyFont="1" applyBorder="1"/>
    <xf numFmtId="2" fontId="7" fillId="0" borderId="15" xfId="0" applyNumberFormat="1" applyFont="1" applyBorder="1"/>
    <xf numFmtId="2" fontId="7" fillId="0" borderId="12" xfId="0" applyNumberFormat="1" applyFont="1" applyBorder="1"/>
    <xf numFmtId="2" fontId="7" fillId="0" borderId="16" xfId="0" applyNumberFormat="1" applyFont="1" applyBorder="1"/>
    <xf numFmtId="168" fontId="37" fillId="0" borderId="2" xfId="0" applyNumberFormat="1" applyFont="1" applyBorder="1"/>
    <xf numFmtId="168" fontId="37" fillId="0" borderId="1" xfId="0" applyNumberFormat="1" applyFont="1" applyBorder="1"/>
    <xf numFmtId="0" fontId="35" fillId="0" borderId="16" xfId="0" applyFont="1" applyBorder="1"/>
    <xf numFmtId="2" fontId="7" fillId="0" borderId="19" xfId="0" applyNumberFormat="1" applyFont="1" applyBorder="1"/>
    <xf numFmtId="0" fontId="35" fillId="0" borderId="6" xfId="0" applyFont="1" applyBorder="1"/>
    <xf numFmtId="0" fontId="35" fillId="0" borderId="5" xfId="0" applyFont="1" applyBorder="1"/>
    <xf numFmtId="0" fontId="35" fillId="0" borderId="19" xfId="0" applyFont="1" applyBorder="1"/>
    <xf numFmtId="0" fontId="37" fillId="0" borderId="6" xfId="0" applyFont="1" applyBorder="1" applyAlignment="1">
      <alignment horizontal="center" vertical="top" wrapText="1"/>
    </xf>
    <xf numFmtId="0" fontId="35" fillId="0" borderId="6" xfId="0" applyFont="1" applyBorder="1" applyAlignment="1">
      <alignment horizontal="center"/>
    </xf>
    <xf numFmtId="0" fontId="37" fillId="0" borderId="5" xfId="0" applyFont="1" applyBorder="1" applyAlignment="1">
      <alignment horizontal="center" vertical="top" wrapText="1"/>
    </xf>
    <xf numFmtId="2" fontId="36" fillId="0" borderId="0" xfId="0" applyNumberFormat="1" applyFont="1" applyAlignment="1">
      <alignment horizontal="center"/>
    </xf>
    <xf numFmtId="2" fontId="39" fillId="0" borderId="0" xfId="0" applyNumberFormat="1" applyFont="1" applyAlignment="1">
      <alignment horizontal="center"/>
    </xf>
    <xf numFmtId="166" fontId="39" fillId="0" borderId="0" xfId="0" applyNumberFormat="1" applyFont="1" applyAlignment="1">
      <alignment horizontal="center"/>
    </xf>
    <xf numFmtId="166" fontId="36" fillId="0" borderId="0" xfId="0" applyNumberFormat="1" applyFont="1" applyAlignment="1">
      <alignment horizontal="center"/>
    </xf>
    <xf numFmtId="0" fontId="39" fillId="0" borderId="0" xfId="0" applyFont="1" applyAlignment="1">
      <alignment horizontal="left" wrapText="1"/>
    </xf>
    <xf numFmtId="164" fontId="39" fillId="0" borderId="0" xfId="0" applyNumberFormat="1" applyFont="1"/>
    <xf numFmtId="0" fontId="40" fillId="0" borderId="0" xfId="0" applyFont="1" applyAlignment="1">
      <alignment horizontal="right" wrapText="1"/>
    </xf>
    <xf numFmtId="2" fontId="39" fillId="0" borderId="2" xfId="0" applyNumberFormat="1" applyFont="1" applyBorder="1" applyAlignment="1">
      <alignment horizontal="center"/>
    </xf>
    <xf numFmtId="1" fontId="39" fillId="0" borderId="1" xfId="0" applyNumberFormat="1" applyFont="1" applyBorder="1" applyAlignment="1">
      <alignment horizontal="center"/>
    </xf>
    <xf numFmtId="0" fontId="39" fillId="0" borderId="0" xfId="0" applyFont="1" applyAlignment="1">
      <alignment vertical="center"/>
    </xf>
    <xf numFmtId="166" fontId="39" fillId="0" borderId="0" xfId="0" applyNumberFormat="1" applyFont="1" applyAlignment="1">
      <alignment horizontal="center" vertical="center" wrapText="1"/>
    </xf>
    <xf numFmtId="166" fontId="39" fillId="0" borderId="2" xfId="0" applyNumberFormat="1" applyFont="1" applyBorder="1" applyAlignment="1">
      <alignment horizontal="center" vertical="center" wrapText="1"/>
    </xf>
    <xf numFmtId="1" fontId="39" fillId="0" borderId="1" xfId="0" applyNumberFormat="1" applyFont="1" applyBorder="1" applyAlignment="1">
      <alignment horizontal="center" vertical="center" wrapText="1"/>
    </xf>
    <xf numFmtId="2" fontId="39" fillId="0" borderId="0" xfId="0" applyNumberFormat="1" applyFont="1" applyAlignment="1">
      <alignment horizontal="center" vertical="center" wrapText="1"/>
    </xf>
    <xf numFmtId="2" fontId="39" fillId="0" borderId="1" xfId="0" applyNumberFormat="1" applyFont="1" applyBorder="1" applyAlignment="1">
      <alignment horizontal="center" vertical="center" wrapText="1"/>
    </xf>
    <xf numFmtId="0" fontId="39" fillId="0" borderId="0" xfId="0" applyFont="1" applyAlignment="1">
      <alignment horizontal="center"/>
    </xf>
    <xf numFmtId="0" fontId="35" fillId="34" borderId="0" xfId="0" applyFont="1" applyFill="1"/>
    <xf numFmtId="2" fontId="37" fillId="34" borderId="0" xfId="0" applyNumberFormat="1" applyFont="1" applyFill="1" applyAlignment="1">
      <alignment vertical="top" wrapText="1"/>
    </xf>
    <xf numFmtId="165" fontId="39" fillId="0" borderId="1" xfId="0" applyNumberFormat="1" applyFont="1" applyBorder="1" applyAlignment="1">
      <alignment horizontal="center"/>
    </xf>
    <xf numFmtId="0" fontId="40" fillId="0" borderId="11" xfId="0" applyFont="1" applyBorder="1" applyAlignment="1">
      <alignment horizontal="right" wrapText="1"/>
    </xf>
    <xf numFmtId="2" fontId="39" fillId="0" borderId="11" xfId="0" applyNumberFormat="1" applyFont="1" applyBorder="1" applyAlignment="1">
      <alignment horizontal="center"/>
    </xf>
    <xf numFmtId="3" fontId="39" fillId="0" borderId="11" xfId="0" applyNumberFormat="1" applyFont="1" applyBorder="1" applyAlignment="1">
      <alignment horizontal="center"/>
    </xf>
    <xf numFmtId="1" fontId="39" fillId="0" borderId="11" xfId="0" applyNumberFormat="1" applyFont="1" applyBorder="1" applyAlignment="1">
      <alignment horizontal="center"/>
    </xf>
    <xf numFmtId="164" fontId="39" fillId="0" borderId="11" xfId="0" applyNumberFormat="1" applyFont="1" applyBorder="1"/>
    <xf numFmtId="3" fontId="39" fillId="0" borderId="0" xfId="0" applyNumberFormat="1" applyFont="1" applyAlignment="1">
      <alignment horizontal="center"/>
    </xf>
    <xf numFmtId="2" fontId="39" fillId="0" borderId="13" xfId="0" applyNumberFormat="1" applyFont="1" applyBorder="1" applyAlignment="1">
      <alignment horizontal="center"/>
    </xf>
    <xf numFmtId="164" fontId="39" fillId="0" borderId="13" xfId="0" applyNumberFormat="1" applyFont="1" applyBorder="1"/>
    <xf numFmtId="164" fontId="39" fillId="0" borderId="2" xfId="0" applyNumberFormat="1" applyFont="1" applyBorder="1"/>
    <xf numFmtId="0" fontId="39" fillId="0" borderId="13" xfId="0" applyFont="1" applyBorder="1" applyAlignment="1">
      <alignment horizontal="left" wrapText="1"/>
    </xf>
    <xf numFmtId="166" fontId="39" fillId="0" borderId="11" xfId="0" applyNumberFormat="1" applyFont="1" applyBorder="1" applyAlignment="1">
      <alignment horizontal="center"/>
    </xf>
    <xf numFmtId="1" fontId="39" fillId="0" borderId="14" xfId="0" applyNumberFormat="1" applyFont="1" applyBorder="1" applyAlignment="1">
      <alignment horizontal="center"/>
    </xf>
    <xf numFmtId="0" fontId="39" fillId="0" borderId="2" xfId="0" applyFont="1" applyBorder="1" applyAlignment="1">
      <alignment horizontal="left" wrapText="1"/>
    </xf>
    <xf numFmtId="0" fontId="39" fillId="0" borderId="15" xfId="0" applyFont="1" applyBorder="1" applyAlignment="1">
      <alignment horizontal="left" wrapText="1"/>
    </xf>
    <xf numFmtId="166" fontId="39" fillId="0" borderId="12" xfId="0" applyNumberFormat="1" applyFont="1" applyBorder="1" applyAlignment="1">
      <alignment horizontal="center"/>
    </xf>
    <xf numFmtId="2" fontId="39" fillId="0" borderId="15" xfId="0" applyNumberFormat="1" applyFont="1" applyBorder="1" applyAlignment="1">
      <alignment horizontal="center"/>
    </xf>
    <xf numFmtId="1" fontId="39" fillId="0" borderId="12" xfId="0" applyNumberFormat="1" applyFont="1" applyBorder="1" applyAlignment="1">
      <alignment horizontal="center"/>
    </xf>
    <xf numFmtId="164" fontId="39" fillId="0" borderId="15" xfId="0" applyNumberFormat="1" applyFont="1" applyBorder="1"/>
    <xf numFmtId="1" fontId="39" fillId="0" borderId="16" xfId="0" applyNumberFormat="1" applyFont="1" applyBorder="1" applyAlignment="1">
      <alignment horizontal="center"/>
    </xf>
    <xf numFmtId="0" fontId="39" fillId="0" borderId="15" xfId="0" applyFont="1" applyBorder="1" applyAlignment="1">
      <alignment vertical="center"/>
    </xf>
    <xf numFmtId="166" fontId="39" fillId="0" borderId="12" xfId="0" applyNumberFormat="1" applyFont="1" applyBorder="1" applyAlignment="1">
      <alignment horizontal="center" vertical="center" wrapText="1"/>
    </xf>
    <xf numFmtId="166" fontId="39" fillId="0" borderId="15" xfId="0" applyNumberFormat="1" applyFont="1" applyBorder="1" applyAlignment="1">
      <alignment horizontal="center" vertical="center" wrapText="1"/>
    </xf>
    <xf numFmtId="1" fontId="39" fillId="0" borderId="16" xfId="0" applyNumberFormat="1" applyFont="1" applyBorder="1" applyAlignment="1">
      <alignment horizontal="center" vertical="center" wrapText="1"/>
    </xf>
    <xf numFmtId="2" fontId="39" fillId="0" borderId="12" xfId="0" applyNumberFormat="1" applyFont="1" applyBorder="1" applyAlignment="1">
      <alignment horizontal="center" vertical="center" wrapText="1"/>
    </xf>
    <xf numFmtId="2" fontId="39" fillId="0" borderId="16" xfId="0" applyNumberFormat="1" applyFont="1" applyBorder="1" applyAlignment="1">
      <alignment horizontal="center" vertical="center" wrapText="1"/>
    </xf>
    <xf numFmtId="0" fontId="39" fillId="0" borderId="11" xfId="0" applyFont="1" applyBorder="1"/>
    <xf numFmtId="165" fontId="41" fillId="0" borderId="11" xfId="0" applyNumberFormat="1" applyFont="1" applyBorder="1" applyAlignment="1">
      <alignment horizontal="center"/>
    </xf>
    <xf numFmtId="0" fontId="39" fillId="0" borderId="11" xfId="0" applyFont="1" applyBorder="1" applyAlignment="1">
      <alignment horizontal="center"/>
    </xf>
    <xf numFmtId="0" fontId="39" fillId="0" borderId="13" xfId="0" applyFont="1" applyBorder="1"/>
    <xf numFmtId="0" fontId="35" fillId="35" borderId="0" xfId="0" applyFont="1" applyFill="1"/>
    <xf numFmtId="0" fontId="35" fillId="0" borderId="20" xfId="0" applyFont="1" applyBorder="1" applyAlignment="1">
      <alignment horizontal="centerContinuous" wrapText="1"/>
    </xf>
    <xf numFmtId="0" fontId="35" fillId="0" borderId="20" xfId="0" applyFont="1" applyBorder="1" applyAlignment="1">
      <alignment horizontal="centerContinuous" vertical="center" wrapText="1"/>
    </xf>
    <xf numFmtId="0" fontId="42" fillId="0" borderId="0" xfId="0" applyFont="1"/>
    <xf numFmtId="0" fontId="36" fillId="0" borderId="21" xfId="0" applyFont="1" applyBorder="1" applyAlignment="1">
      <alignment horizontal="centerContinuous" wrapText="1"/>
    </xf>
    <xf numFmtId="0" fontId="36" fillId="0" borderId="21" xfId="0" applyFont="1" applyBorder="1" applyAlignment="1">
      <alignment horizontal="centerContinuous"/>
    </xf>
    <xf numFmtId="0" fontId="36" fillId="0" borderId="0" xfId="0" applyFont="1" applyAlignment="1">
      <alignment horizontal="center"/>
    </xf>
    <xf numFmtId="0" fontId="43" fillId="0" borderId="0" xfId="0" applyFont="1"/>
    <xf numFmtId="0" fontId="44" fillId="2" borderId="0" xfId="0" applyFont="1" applyFill="1" applyAlignment="1" applyProtection="1">
      <alignment horizontal="center" vertical="center"/>
      <protection locked="0"/>
    </xf>
    <xf numFmtId="0" fontId="36" fillId="0" borderId="0" xfId="0" applyFont="1" applyAlignment="1">
      <alignment horizontal="center" vertical="center"/>
    </xf>
    <xf numFmtId="0" fontId="36" fillId="0" borderId="22" xfId="0" applyFont="1" applyBorder="1" applyAlignment="1">
      <alignment horizontal="center" vertical="center"/>
    </xf>
    <xf numFmtId="0" fontId="45" fillId="0" borderId="0" xfId="0" applyFont="1"/>
    <xf numFmtId="0" fontId="35" fillId="0" borderId="0" xfId="0" applyFont="1" applyAlignment="1">
      <alignment horizontal="center" vertical="center" wrapText="1"/>
    </xf>
    <xf numFmtId="0" fontId="35" fillId="0" borderId="0" xfId="0" applyFont="1" applyAlignment="1">
      <alignment horizontal="center" vertical="center"/>
    </xf>
    <xf numFmtId="167" fontId="38" fillId="0" borderId="0" xfId="0" applyNumberFormat="1" applyFont="1"/>
    <xf numFmtId="10" fontId="38" fillId="0" borderId="0" xfId="0" applyNumberFormat="1" applyFont="1"/>
    <xf numFmtId="0" fontId="38" fillId="0" borderId="0" xfId="0" applyFont="1"/>
    <xf numFmtId="0" fontId="44" fillId="0" borderId="11" xfId="0" applyFont="1" applyBorder="1"/>
    <xf numFmtId="0" fontId="46" fillId="0" borderId="0" xfId="0" applyFont="1"/>
    <xf numFmtId="170" fontId="1" fillId="0" borderId="0" xfId="80" applyNumberFormat="1" applyFont="1" applyAlignment="1">
      <alignment vertical="center" wrapText="1"/>
    </xf>
    <xf numFmtId="171" fontId="1" fillId="0" borderId="5" xfId="80" applyNumberFormat="1" applyFont="1" applyBorder="1" applyAlignment="1">
      <alignment horizontal="right" vertical="center"/>
    </xf>
    <xf numFmtId="171" fontId="1" fillId="0" borderId="6" xfId="80" applyNumberFormat="1" applyFont="1" applyBorder="1" applyAlignment="1">
      <alignment horizontal="right" vertical="center"/>
    </xf>
    <xf numFmtId="0" fontId="47" fillId="6" borderId="12" xfId="7" applyFont="1" applyBorder="1"/>
    <xf numFmtId="3" fontId="38" fillId="0" borderId="0" xfId="0" quotePrefix="1" applyNumberFormat="1" applyFont="1"/>
    <xf numFmtId="0" fontId="48" fillId="0" borderId="0" xfId="0" applyFont="1"/>
    <xf numFmtId="0" fontId="49" fillId="0" borderId="0" xfId="0" applyFont="1"/>
    <xf numFmtId="49" fontId="0" fillId="0" borderId="0" xfId="0" applyNumberFormat="1"/>
    <xf numFmtId="14" fontId="15" fillId="0" borderId="3" xfId="7" applyNumberFormat="1" applyFill="1" applyBorder="1"/>
    <xf numFmtId="14" fontId="50" fillId="6" borderId="0" xfId="7" applyNumberFormat="1" applyFont="1" applyAlignment="1">
      <alignment horizontal="right"/>
    </xf>
    <xf numFmtId="2" fontId="35" fillId="0" borderId="23" xfId="0" applyNumberFormat="1" applyFont="1" applyBorder="1" applyAlignment="1">
      <alignment horizontal="center"/>
    </xf>
    <xf numFmtId="2" fontId="35" fillId="0" borderId="24" xfId="0" applyNumberFormat="1" applyFont="1" applyBorder="1" applyAlignment="1">
      <alignment horizontal="center"/>
    </xf>
    <xf numFmtId="2" fontId="35" fillId="0" borderId="25" xfId="0" applyNumberFormat="1" applyFont="1" applyBorder="1" applyAlignment="1">
      <alignment horizontal="center"/>
    </xf>
    <xf numFmtId="2" fontId="35" fillId="0" borderId="26" xfId="0" applyNumberFormat="1" applyFont="1" applyBorder="1" applyAlignment="1">
      <alignment horizontal="center"/>
    </xf>
    <xf numFmtId="2" fontId="35" fillId="0" borderId="27" xfId="0" applyNumberFormat="1" applyFont="1" applyBorder="1" applyAlignment="1">
      <alignment horizontal="center"/>
    </xf>
    <xf numFmtId="2" fontId="35" fillId="0" borderId="28" xfId="0" applyNumberFormat="1" applyFont="1" applyBorder="1" applyAlignment="1">
      <alignment horizontal="center"/>
    </xf>
    <xf numFmtId="2" fontId="35" fillId="0" borderId="3" xfId="0" applyNumberFormat="1" applyFont="1" applyBorder="1" applyAlignment="1">
      <alignment horizontal="center"/>
    </xf>
    <xf numFmtId="0" fontId="35" fillId="0" borderId="29" xfId="0" applyFont="1" applyBorder="1" applyAlignment="1">
      <alignment horizontal="center" wrapText="1"/>
    </xf>
    <xf numFmtId="0" fontId="35" fillId="0" borderId="30" xfId="0" applyFont="1" applyBorder="1" applyAlignment="1">
      <alignment horizontal="center" wrapText="1"/>
    </xf>
    <xf numFmtId="2" fontId="35" fillId="0" borderId="31" xfId="0" applyNumberFormat="1" applyFont="1" applyBorder="1" applyAlignment="1">
      <alignment horizontal="center"/>
    </xf>
    <xf numFmtId="2" fontId="35" fillId="0" borderId="32" xfId="0" applyNumberFormat="1" applyFont="1" applyBorder="1" applyAlignment="1">
      <alignment horizontal="center"/>
    </xf>
    <xf numFmtId="2" fontId="35" fillId="0" borderId="33" xfId="0" applyNumberFormat="1" applyFont="1" applyBorder="1" applyAlignment="1">
      <alignment horizontal="center"/>
    </xf>
    <xf numFmtId="2" fontId="35" fillId="0" borderId="34" xfId="0" applyNumberFormat="1" applyFont="1" applyBorder="1" applyAlignment="1">
      <alignment horizontal="center" vertical="center"/>
    </xf>
    <xf numFmtId="2" fontId="35" fillId="0" borderId="35" xfId="0" applyNumberFormat="1" applyFont="1" applyBorder="1" applyAlignment="1">
      <alignment horizontal="center" vertical="center"/>
    </xf>
    <xf numFmtId="2" fontId="35" fillId="0" borderId="36" xfId="0" applyNumberFormat="1" applyFont="1" applyBorder="1" applyAlignment="1">
      <alignment horizontal="center" vertical="center"/>
    </xf>
    <xf numFmtId="168" fontId="35" fillId="0" borderId="37" xfId="0" applyNumberFormat="1" applyFont="1" applyBorder="1" applyAlignment="1">
      <alignment horizontal="center" vertical="center"/>
    </xf>
    <xf numFmtId="168" fontId="35" fillId="0" borderId="38" xfId="0" applyNumberFormat="1" applyFont="1" applyBorder="1" applyAlignment="1">
      <alignment horizontal="center" vertical="center"/>
    </xf>
    <xf numFmtId="168" fontId="35" fillId="0" borderId="39" xfId="0" applyNumberFormat="1" applyFont="1" applyBorder="1" applyAlignment="1">
      <alignment horizontal="center" vertical="center"/>
    </xf>
    <xf numFmtId="2" fontId="35" fillId="0" borderId="26" xfId="0" applyNumberFormat="1" applyFont="1" applyBorder="1" applyAlignment="1">
      <alignment horizontal="center" vertical="center"/>
    </xf>
    <xf numFmtId="2" fontId="35" fillId="0" borderId="27" xfId="0" applyNumberFormat="1" applyFont="1" applyBorder="1" applyAlignment="1">
      <alignment horizontal="center" vertical="center"/>
    </xf>
    <xf numFmtId="2" fontId="35" fillId="0" borderId="28" xfId="0" applyNumberFormat="1" applyFont="1" applyBorder="1" applyAlignment="1">
      <alignment horizontal="center" vertical="center"/>
    </xf>
    <xf numFmtId="0" fontId="51" fillId="0" borderId="40" xfId="0" applyFont="1" applyBorder="1"/>
    <xf numFmtId="0" fontId="32" fillId="0" borderId="41" xfId="0" applyFont="1" applyBorder="1" applyAlignment="1">
      <alignment horizontal="center"/>
    </xf>
    <xf numFmtId="0" fontId="1" fillId="0" borderId="42" xfId="0" applyFont="1" applyBorder="1" applyAlignment="1">
      <alignment horizontal="center" vertical="center" wrapText="1"/>
    </xf>
    <xf numFmtId="0" fontId="12" fillId="0" borderId="42" xfId="0" applyFont="1" applyBorder="1" applyAlignment="1">
      <alignment vertical="center" wrapText="1"/>
    </xf>
    <xf numFmtId="0" fontId="1" fillId="0" borderId="43" xfId="0" applyFont="1" applyBorder="1" applyAlignment="1">
      <alignment horizontal="center" vertical="center" wrapText="1"/>
    </xf>
    <xf numFmtId="0" fontId="12" fillId="0" borderId="43" xfId="0" applyFont="1" applyBorder="1" applyAlignment="1">
      <alignment vertical="center" wrapText="1"/>
    </xf>
    <xf numFmtId="0" fontId="13" fillId="0" borderId="43" xfId="0" applyFont="1" applyBorder="1" applyAlignment="1">
      <alignment vertical="center" wrapText="1"/>
    </xf>
    <xf numFmtId="0" fontId="32" fillId="0" borderId="41"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51" fillId="0" borderId="40" xfId="0" applyFont="1" applyBorder="1" applyAlignment="1">
      <alignment horizontal="left" vertical="center"/>
    </xf>
    <xf numFmtId="2" fontId="37" fillId="0" borderId="1" xfId="0" applyNumberFormat="1" applyFont="1" applyBorder="1" applyAlignment="1">
      <alignment horizontal="center" vertical="top" wrapText="1"/>
    </xf>
    <xf numFmtId="2" fontId="1" fillId="0" borderId="3" xfId="80" applyNumberFormat="1" applyFont="1" applyBorder="1" applyAlignment="1">
      <alignment horizontal="left" vertical="center" indent="1"/>
    </xf>
    <xf numFmtId="2" fontId="1" fillId="0" borderId="5" xfId="80" applyNumberFormat="1" applyFont="1" applyBorder="1" applyAlignment="1">
      <alignment horizontal="left" vertical="center" indent="1"/>
    </xf>
    <xf numFmtId="4" fontId="0" fillId="0" borderId="0" xfId="0" applyNumberFormat="1"/>
    <xf numFmtId="49" fontId="6" fillId="0" borderId="0" xfId="0" applyNumberFormat="1" applyFont="1"/>
    <xf numFmtId="0" fontId="4" fillId="0" borderId="44" xfId="80" applyFont="1" applyBorder="1" applyAlignment="1">
      <alignment vertical="center" wrapText="1"/>
    </xf>
    <xf numFmtId="0" fontId="4" fillId="0" borderId="7" xfId="80" applyFont="1" applyBorder="1" applyAlignment="1">
      <alignment vertical="center" wrapText="1"/>
    </xf>
    <xf numFmtId="0" fontId="4" fillId="0" borderId="45" xfId="80" applyFont="1" applyBorder="1" applyAlignment="1">
      <alignment vertical="center" wrapText="1"/>
    </xf>
    <xf numFmtId="0" fontId="4" fillId="0" borderId="46" xfId="80" applyFont="1" applyBorder="1" applyAlignment="1">
      <alignment vertical="center" wrapText="1"/>
    </xf>
    <xf numFmtId="10" fontId="38" fillId="0" borderId="12" xfId="0" applyNumberFormat="1" applyFont="1" applyBorder="1"/>
    <xf numFmtId="10" fontId="38" fillId="0" borderId="16" xfId="0" applyNumberFormat="1" applyFont="1" applyBorder="1"/>
    <xf numFmtId="167" fontId="38" fillId="0" borderId="15" xfId="0" applyNumberFormat="1" applyFont="1" applyBorder="1"/>
    <xf numFmtId="167" fontId="38" fillId="0" borderId="12" xfId="0" applyNumberFormat="1" applyFont="1" applyBorder="1"/>
    <xf numFmtId="167" fontId="38" fillId="0" borderId="13" xfId="0" applyNumberFormat="1" applyFont="1" applyBorder="1" applyProtection="1">
      <protection locked="0"/>
    </xf>
    <xf numFmtId="167" fontId="38" fillId="0" borderId="11" xfId="0" applyNumberFormat="1" applyFont="1" applyBorder="1" applyProtection="1">
      <protection locked="0"/>
    </xf>
    <xf numFmtId="167" fontId="36" fillId="0" borderId="21" xfId="0" applyNumberFormat="1" applyFont="1" applyBorder="1" applyAlignment="1">
      <alignment horizontal="center"/>
    </xf>
    <xf numFmtId="167" fontId="36" fillId="0" borderId="21" xfId="0" applyNumberFormat="1" applyFont="1" applyBorder="1"/>
    <xf numFmtId="167" fontId="36" fillId="0" borderId="22" xfId="0" applyNumberFormat="1" applyFont="1" applyBorder="1"/>
    <xf numFmtId="167" fontId="36" fillId="0" borderId="21" xfId="0" applyNumberFormat="1" applyFont="1" applyBorder="1" applyAlignment="1">
      <alignment horizontal="center" vertical="center"/>
    </xf>
    <xf numFmtId="0" fontId="36" fillId="0" borderId="21" xfId="0" applyFont="1" applyBorder="1" applyAlignment="1">
      <alignment horizontal="center"/>
    </xf>
    <xf numFmtId="0" fontId="36" fillId="0" borderId="22" xfId="0" applyFont="1" applyBorder="1" applyAlignment="1">
      <alignment horizontal="center"/>
    </xf>
    <xf numFmtId="165" fontId="36" fillId="0" borderId="21" xfId="0" applyNumberFormat="1" applyFont="1" applyBorder="1" applyAlignment="1">
      <alignment horizontal="center"/>
    </xf>
    <xf numFmtId="0" fontId="44" fillId="0" borderId="0" xfId="0" applyFont="1" applyAlignment="1">
      <alignment horizontal="center"/>
    </xf>
    <xf numFmtId="0" fontId="5" fillId="0" borderId="0" xfId="0" applyFont="1" applyAlignment="1">
      <alignment horizontal="center"/>
    </xf>
    <xf numFmtId="2" fontId="36" fillId="0" borderId="47" xfId="0" applyNumberFormat="1" applyFont="1" applyBorder="1" applyAlignment="1">
      <alignment horizontal="center"/>
    </xf>
    <xf numFmtId="0" fontId="36" fillId="0" borderId="47" xfId="0" applyFont="1" applyBorder="1" applyAlignment="1">
      <alignment horizontal="center"/>
    </xf>
    <xf numFmtId="0" fontId="52" fillId="0" borderId="13" xfId="0" applyFont="1" applyBorder="1" applyAlignment="1">
      <alignment horizontal="center"/>
    </xf>
    <xf numFmtId="0" fontId="5" fillId="0" borderId="11" xfId="0" applyFont="1" applyBorder="1" applyAlignment="1">
      <alignment horizontal="center"/>
    </xf>
    <xf numFmtId="0" fontId="52" fillId="0" borderId="2" xfId="0" applyFont="1" applyBorder="1" applyAlignment="1">
      <alignment horizontal="center"/>
    </xf>
    <xf numFmtId="0" fontId="52" fillId="0" borderId="0" xfId="0" applyFont="1" applyAlignment="1">
      <alignment horizontal="center"/>
    </xf>
    <xf numFmtId="0" fontId="52" fillId="0" borderId="1" xfId="0" applyFont="1" applyBorder="1" applyAlignment="1">
      <alignment horizontal="center"/>
    </xf>
  </cellXfs>
  <cellStyles count="92">
    <cellStyle name="20% - Accent1 2" xfId="1" xr:uid="{73785240-118A-40DD-AE95-92A54752956C}"/>
    <cellStyle name="20% - Accent1 3" xfId="2" xr:uid="{37520170-6789-4816-9A3C-52CA78AA8D50}"/>
    <cellStyle name="20% - Accent2 2" xfId="3" xr:uid="{7DBCF075-E39D-46AB-8C59-8CEDB1993E7D}"/>
    <cellStyle name="20% - Accent2 3" xfId="4" xr:uid="{D5A721B0-429E-4310-AB2F-50A340F32666}"/>
    <cellStyle name="20% - Accent3 2" xfId="5" xr:uid="{B87D7A02-C1B3-4567-AA5A-EC77076A5974}"/>
    <cellStyle name="20% - Accent3 3" xfId="6" xr:uid="{4EA670C6-6D23-4A02-A07F-BC8FADF9A19B}"/>
    <cellStyle name="20% - Accent4 2" xfId="7" xr:uid="{8F5F34D3-146C-4854-9C6E-1A4FBC57D4EE}"/>
    <cellStyle name="20% - Accent4 3" xfId="8" xr:uid="{A8B1BE00-95E3-4EBD-84F9-CD9BD17ED4FF}"/>
    <cellStyle name="20% - Accent5 2" xfId="9" xr:uid="{372DEA21-BD72-4528-B627-CC1CCA2C64FD}"/>
    <cellStyle name="20% - Accent5 3" xfId="10" xr:uid="{9C4BE7FB-476C-4DDF-A2FF-CAF6BAC17701}"/>
    <cellStyle name="20% - Accent6 2" xfId="11" xr:uid="{08C95204-11F4-45C5-8F0D-273ABC3403CE}"/>
    <cellStyle name="20% - Accent6 3" xfId="12" xr:uid="{C7418020-8221-4630-BB94-F15F75218ADE}"/>
    <cellStyle name="40% - Accent1 2" xfId="13" xr:uid="{47260F5F-EE4D-4EB3-A3E9-D8CFD89F5835}"/>
    <cellStyle name="40% - Accent1 3" xfId="14" xr:uid="{3FDD2E4B-77D8-4B72-87EE-438644DAD684}"/>
    <cellStyle name="40% - Accent2 2" xfId="15" xr:uid="{CC82B0CC-6D9F-4A0A-9873-17934F458595}"/>
    <cellStyle name="40% - Accent2 3" xfId="16" xr:uid="{D7AD35E1-7BAC-4046-9C56-9D1CFB075846}"/>
    <cellStyle name="40% - Accent3 2" xfId="17" xr:uid="{52136B04-79E2-434B-9265-D975FED28B9A}"/>
    <cellStyle name="40% - Accent3 3" xfId="18" xr:uid="{A4009D24-948A-4569-B76F-9F5262853DF4}"/>
    <cellStyle name="40% - Accent4 2" xfId="19" xr:uid="{FE36BB7B-AA2A-443E-BE00-AF080146C706}"/>
    <cellStyle name="40% - Accent4 3" xfId="20" xr:uid="{A8208737-EB23-42AE-9E2D-63617F410869}"/>
    <cellStyle name="40% - Accent5 2" xfId="21" xr:uid="{F8136092-9488-454F-B0D2-67BD2F87CA25}"/>
    <cellStyle name="40% - Accent5 3" xfId="22" xr:uid="{A18A1355-1613-4EC9-A9E0-6AF9D6308DE4}"/>
    <cellStyle name="40% - Accent6 2" xfId="23" xr:uid="{9D120304-0E6D-4E7B-B04E-2FCA8BF67FF0}"/>
    <cellStyle name="40% - Accent6 3" xfId="24" xr:uid="{A465F7A0-4B9E-4663-80F4-4C4327027BD6}"/>
    <cellStyle name="60% - Accent1 2" xfId="25" xr:uid="{AB4AD92A-87DE-4614-844F-D669B1ED02F3}"/>
    <cellStyle name="60% - Accent1 3" xfId="26" xr:uid="{CCEF175E-612F-4086-A54D-AF27A480EAB8}"/>
    <cellStyle name="60% - Accent1 4" xfId="27" xr:uid="{BAEFD719-C0E5-4259-8140-40FB0372F8E7}"/>
    <cellStyle name="60% - Accent2 2" xfId="28" xr:uid="{0639EF88-769A-405E-A7B2-E0B0F8EB8B68}"/>
    <cellStyle name="60% - Accent2 3" xfId="29" xr:uid="{87EB7733-913C-4C54-9674-218A861290E7}"/>
    <cellStyle name="60% - Accent2 4" xfId="30" xr:uid="{D999CC00-937F-4035-81B9-F32271613212}"/>
    <cellStyle name="60% - Accent3 2" xfId="31" xr:uid="{EAF4E902-BF44-46CD-A4B2-31213FED0503}"/>
    <cellStyle name="60% - Accent3 3" xfId="32" xr:uid="{D31817B9-BFEE-4BE7-AD11-FA9463C7F1BF}"/>
    <cellStyle name="60% - Accent3 4" xfId="33" xr:uid="{14BDD6C9-AC48-42BA-9968-5B7FEC8CF971}"/>
    <cellStyle name="60% - Accent4 2" xfId="34" xr:uid="{FD2DD709-AF4D-4E11-B2C9-E365F001144F}"/>
    <cellStyle name="60% - Accent4 3" xfId="35" xr:uid="{26D03B1A-F323-4A4A-AF1A-3B1732C840E2}"/>
    <cellStyle name="60% - Accent4 4" xfId="36" xr:uid="{0DA434A3-8F28-4F84-8722-D8A8E54EED14}"/>
    <cellStyle name="60% - Accent5 2" xfId="37" xr:uid="{2C128757-7B6A-4A76-8960-7E94F8E5D995}"/>
    <cellStyle name="60% - Accent5 3" xfId="38" xr:uid="{982A02E8-C252-41E0-802D-726F18151CEC}"/>
    <cellStyle name="60% - Accent5 4" xfId="39" xr:uid="{2A8F6D2D-1D9E-43F9-A9E1-B10FE9DDA7F5}"/>
    <cellStyle name="60% - Accent6 2" xfId="40" xr:uid="{1BD72C0F-202C-4915-9764-E04F2BC91F6A}"/>
    <cellStyle name="60% - Accent6 3" xfId="41" xr:uid="{EFFDD445-FD34-4824-A161-5FDE537BA14F}"/>
    <cellStyle name="60% - Accent6 4" xfId="42" xr:uid="{D287A8FC-91C9-4B65-8CEF-09BF247A3BE7}"/>
    <cellStyle name="Accent1 2" xfId="43" xr:uid="{4E2088E8-225B-4834-A065-B30F2DFB9DF3}"/>
    <cellStyle name="Accent1 3" xfId="44" xr:uid="{68CEC9BD-2ADA-475F-B96E-B784A4D00A04}"/>
    <cellStyle name="Accent2 2" xfId="45" xr:uid="{93F51104-F7A1-419D-A94C-ACC97A6DA527}"/>
    <cellStyle name="Accent2 3" xfId="46" xr:uid="{D0794DFA-804A-44D0-BB9E-53B635DD4323}"/>
    <cellStyle name="Accent3 2" xfId="47" xr:uid="{05F167E8-AA83-4D1F-B1FF-CBD1763AED1A}"/>
    <cellStyle name="Accent3 3" xfId="48" xr:uid="{E21F7D27-5980-46D8-A425-5F4B2FA622C3}"/>
    <cellStyle name="Accent4 2" xfId="49" xr:uid="{2F5AA5EA-9B94-4DBF-B2F8-D82F09329C3E}"/>
    <cellStyle name="Accent4 3" xfId="50" xr:uid="{26F653FF-3D66-4D2C-B12B-3D82E0C90441}"/>
    <cellStyle name="Accent5 2" xfId="51" xr:uid="{4B8BDB26-4A7A-472B-90F8-DF9CF2780CBD}"/>
    <cellStyle name="Accent5 3" xfId="52" xr:uid="{D138DF8C-D8C8-40C3-A300-161399EF8110}"/>
    <cellStyle name="Accent6 2" xfId="53" xr:uid="{A8A5852C-A40B-435B-957E-700DD27FBA5D}"/>
    <cellStyle name="Accent6 3" xfId="54" xr:uid="{C297EE83-77E2-4715-88D5-B5A78B166AA9}"/>
    <cellStyle name="Bad 2" xfId="55" xr:uid="{FAFA1ADC-615A-481C-8B6E-EF5F364E3A2F}"/>
    <cellStyle name="Bad 3" xfId="56" xr:uid="{C3999DC7-380A-4566-AFB6-7122C78E0F43}"/>
    <cellStyle name="Calculation 2" xfId="57" xr:uid="{18B7E9A9-B8F8-4F08-ABC9-D48E51A9B323}"/>
    <cellStyle name="Calculation 3" xfId="58" xr:uid="{A8FA1ADE-F841-4760-A29B-D86EE39CAC13}"/>
    <cellStyle name="Check Cell 2" xfId="59" xr:uid="{DC8848AD-FF6F-4A3B-A6E1-BE4B79F394E3}"/>
    <cellStyle name="Check Cell 3" xfId="60" xr:uid="{2DD3714C-4BF9-42C0-A7B6-1CF2EFDA3D53}"/>
    <cellStyle name="Explanatory Text 2" xfId="61" xr:uid="{9E517B22-A4CF-4BD6-B78F-A881C5B6332F}"/>
    <cellStyle name="Explanatory Text 3" xfId="62" xr:uid="{F9398FE5-55AF-463A-89C6-E5485CFCEAFE}"/>
    <cellStyle name="Good 2" xfId="63" xr:uid="{8197C020-2A25-49F4-A920-6EA0AC849A45}"/>
    <cellStyle name="Good 3" xfId="64" xr:uid="{F31A6948-B706-4E51-8491-A994C70F8E17}"/>
    <cellStyle name="Heading 1 2" xfId="65" xr:uid="{AD04D747-37B6-4AFA-9DD4-F79E33EB7948}"/>
    <cellStyle name="Heading 1 3" xfId="66" xr:uid="{C32933F6-EC02-42DC-8652-B36DBCB5CC1F}"/>
    <cellStyle name="Heading 2 2" xfId="67" xr:uid="{970467CC-13E7-465F-9D71-D3196107C83F}"/>
    <cellStyle name="Heading 2 3" xfId="68" xr:uid="{3BD1951A-1CE2-4E5E-9E23-A45513962977}"/>
    <cellStyle name="Heading 3 2" xfId="69" xr:uid="{5B14565D-BD1F-4DEE-9600-83666DEBD7DA}"/>
    <cellStyle name="Heading 3 3" xfId="70" xr:uid="{1B2E53D6-74B8-4983-81DF-B6820D9F2145}"/>
    <cellStyle name="Heading 4 2" xfId="71" xr:uid="{9A62490A-861F-4DD7-95ED-5339473C2C5B}"/>
    <cellStyle name="Heading 4 3" xfId="72" xr:uid="{E4CA4899-8C4F-4BCF-946B-2E59706B30A3}"/>
    <cellStyle name="Input 2" xfId="73" xr:uid="{8A34D775-7FBC-4F73-A866-BC3C41085CA4}"/>
    <cellStyle name="Input 3" xfId="74" xr:uid="{80CDD4E9-FA29-4F58-A205-2C21B965B2EB}"/>
    <cellStyle name="Linked Cell 2" xfId="75" xr:uid="{3CCDB615-158F-4A24-BA9F-D2C6A67A1F11}"/>
    <cellStyle name="Linked Cell 3" xfId="76" xr:uid="{5E6AB208-2FB9-40FB-AAD9-EFED92D74087}"/>
    <cellStyle name="Neutral 2" xfId="77" xr:uid="{BFEB173B-7569-4D6A-A4CF-A2869924A119}"/>
    <cellStyle name="Neutral 3" xfId="78" xr:uid="{4BC3D937-8BB0-4AD7-94B1-EACA17591A02}"/>
    <cellStyle name="Neutral 4" xfId="79" xr:uid="{77FC66C4-582B-460D-99E9-9C23B6786083}"/>
    <cellStyle name="Normal" xfId="0" builtinId="0"/>
    <cellStyle name="Normal 2" xfId="80" xr:uid="{DA35FDFD-B87E-442C-B104-4BF5382468D6}"/>
    <cellStyle name="Normal 4" xfId="81" xr:uid="{70A07565-2D62-4B91-ABB7-7EC506AD3B95}"/>
    <cellStyle name="Note 2" xfId="82" xr:uid="{40BA9360-BE2D-4CC1-AAE8-AE12FF575DD3}"/>
    <cellStyle name="Note 3" xfId="83" xr:uid="{5529FF0E-C98C-45BC-BB38-1E5913E18C1F}"/>
    <cellStyle name="Output 2" xfId="84" xr:uid="{9421CE32-E2C2-44EE-A292-6042E0753B27}"/>
    <cellStyle name="Output 3" xfId="85" xr:uid="{8DE11E90-53ED-4558-A253-928A294BD2D3}"/>
    <cellStyle name="Title" xfId="86" builtinId="15" customBuiltin="1"/>
    <cellStyle name="Title 2" xfId="87" xr:uid="{34B637E4-7ADD-4AFC-A526-0B24533D79C6}"/>
    <cellStyle name="Total 2" xfId="88" xr:uid="{D417E60D-BD4B-46BA-837F-982580069481}"/>
    <cellStyle name="Total 3" xfId="89" xr:uid="{137E6E04-B8CC-4699-8151-A26EE66C1360}"/>
    <cellStyle name="Warning Text 2" xfId="90" xr:uid="{B2A6118C-50F0-4E14-A6B7-230B8CAF0B1C}"/>
    <cellStyle name="Warning Text 3" xfId="91" xr:uid="{50D7C39D-8BF9-4DBC-BA36-211331566180}"/>
  </cellStyles>
  <dxfs count="434">
    <dxf>
      <fill>
        <patternFill>
          <bgColor theme="9" tint="-0.24994659260841701"/>
        </patternFill>
      </fill>
    </dxf>
    <dxf>
      <font>
        <b/>
        <i val="0"/>
      </font>
      <fill>
        <patternFill>
          <bgColor theme="6" tint="0.5999633777886288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42"/>
        </patternFill>
      </fill>
    </dxf>
    <dxf>
      <fill>
        <patternFill>
          <bgColor indexed="45"/>
        </patternFill>
      </fill>
    </dxf>
    <dxf>
      <fill>
        <patternFill>
          <bgColor indexed="45"/>
        </patternFill>
      </fill>
    </dxf>
    <dxf>
      <fill>
        <patternFill>
          <bgColor indexed="26"/>
        </patternFill>
      </fill>
    </dxf>
    <dxf>
      <fill>
        <patternFill>
          <bgColor indexed="42"/>
        </patternFill>
      </fill>
    </dxf>
    <dxf>
      <fill>
        <patternFill>
          <bgColor indexed="45"/>
        </patternFill>
      </fill>
    </dxf>
    <dxf>
      <fill>
        <patternFill>
          <bgColor indexed="45"/>
        </patternFill>
      </fill>
    </dxf>
    <dxf>
      <fill>
        <patternFill>
          <bgColor indexed="26"/>
        </patternFill>
      </fill>
    </dxf>
    <dxf>
      <fill>
        <patternFill>
          <bgColor indexed="45"/>
        </patternFill>
      </fill>
    </dxf>
    <dxf>
      <fill>
        <patternFill>
          <bgColor indexed="26"/>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indexed="45"/>
        </patternFill>
      </fill>
    </dxf>
    <dxf>
      <fill>
        <patternFill>
          <bgColor indexed="26"/>
        </patternFill>
      </fill>
    </dxf>
    <dxf>
      <fill>
        <patternFill>
          <bgColor indexed="42"/>
        </patternFill>
      </fill>
    </dxf>
    <dxf>
      <fill>
        <patternFill>
          <bgColor indexed="45"/>
        </patternFill>
      </fill>
    </dxf>
    <dxf>
      <fill>
        <patternFill>
          <bgColor indexed="45"/>
        </patternFill>
      </fill>
    </dxf>
    <dxf>
      <fill>
        <patternFill>
          <bgColor indexed="42"/>
        </patternFill>
      </fill>
    </dxf>
    <dxf>
      <font>
        <b/>
        <i val="0"/>
        <condense val="0"/>
        <extend val="0"/>
      </font>
    </dxf>
    <dxf>
      <font>
        <b/>
        <i val="0"/>
        <condense val="0"/>
        <extend val="0"/>
        <color indexed="10"/>
      </font>
      <fill>
        <patternFill patternType="none">
          <bgColor indexed="6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bgColor indexed="45"/>
        </patternFill>
      </fill>
    </dxf>
    <dxf>
      <fill>
        <patternFill>
          <bgColor indexed="43"/>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4727589902179E-2"/>
          <c:y val="5.7319352515518368E-2"/>
          <c:w val="0.90072668586471982"/>
          <c:h val="0.68868628584968306"/>
        </c:manualLayout>
      </c:layout>
      <c:barChart>
        <c:barDir val="col"/>
        <c:grouping val="clustered"/>
        <c:varyColors val="0"/>
        <c:ser>
          <c:idx val="1"/>
          <c:order val="0"/>
          <c:tx>
            <c:strRef>
              <c:f>'US Chart'!$A$6</c:f>
              <c:strCache>
                <c:ptCount val="1"/>
                <c:pt idx="0">
                  <c:v>Unexpended Ratio</c:v>
                </c:pt>
              </c:strCache>
            </c:strRef>
          </c:tx>
          <c:spPr>
            <a:solidFill>
              <a:srgbClr val="00FF00"/>
            </a:solidFill>
            <a:ln w="12700">
              <a:solidFill>
                <a:srgbClr val="000000"/>
              </a:solidFill>
              <a:prstDash val="solid"/>
            </a:ln>
          </c:spPr>
          <c:invertIfNegative val="0"/>
          <c:cat>
            <c:strRef>
              <c:f>'US Chart'!$B$5:$Y$5</c:f>
              <c:strCache>
                <c:ptCount val="24"/>
                <c:pt idx="0">
                  <c:v>May'24</c:v>
                </c:pt>
                <c:pt idx="1">
                  <c:v>Jun'24</c:v>
                </c:pt>
                <c:pt idx="2">
                  <c:v>Jul'24</c:v>
                </c:pt>
                <c:pt idx="3">
                  <c:v>Aug'24</c:v>
                </c:pt>
                <c:pt idx="4">
                  <c:v>Sep'24</c:v>
                </c:pt>
                <c:pt idx="5">
                  <c:v>Oct'24</c:v>
                </c:pt>
                <c:pt idx="6">
                  <c:v>Nov'24</c:v>
                </c:pt>
                <c:pt idx="7">
                  <c:v>Dec'24</c:v>
                </c:pt>
                <c:pt idx="8">
                  <c:v>Jan'25</c:v>
                </c:pt>
                <c:pt idx="9">
                  <c:v>Feb'25</c:v>
                </c:pt>
                <c:pt idx="10">
                  <c:v>Mar'25</c:v>
                </c:pt>
                <c:pt idx="11">
                  <c:v>Apr'25</c:v>
                </c:pt>
                <c:pt idx="12">
                  <c:v>May'25</c:v>
                </c:pt>
                <c:pt idx="13">
                  <c:v>Jun'25</c:v>
                </c:pt>
                <c:pt idx="14">
                  <c:v>Jul'25</c:v>
                </c:pt>
                <c:pt idx="15">
                  <c:v>Aug'25</c:v>
                </c:pt>
                <c:pt idx="16">
                  <c:v>Sep'25</c:v>
                </c:pt>
                <c:pt idx="17">
                  <c:v>Oct'25</c:v>
                </c:pt>
                <c:pt idx="18">
                  <c:v>Nov'25</c:v>
                </c:pt>
                <c:pt idx="19">
                  <c:v>Dec'25</c:v>
                </c:pt>
                <c:pt idx="20">
                  <c:v>Jan'26</c:v>
                </c:pt>
                <c:pt idx="21">
                  <c:v>Feb'26</c:v>
                </c:pt>
                <c:pt idx="22">
                  <c:v>Mar'26</c:v>
                </c:pt>
                <c:pt idx="23">
                  <c:v>Apr'26</c:v>
                </c:pt>
              </c:strCache>
            </c:strRef>
          </c:cat>
          <c:val>
            <c:numRef>
              <c:f>'US Chart'!$B$6:$Y$6</c:f>
              <c:numCache>
                <c:formatCode>0.00</c:formatCode>
                <c:ptCount val="24"/>
                <c:pt idx="0">
                  <c:v>3.07</c:v>
                </c:pt>
                <c:pt idx="1">
                  <c:v>2.98</c:v>
                </c:pt>
                <c:pt idx="2">
                  <c:v>2.92</c:v>
                </c:pt>
                <c:pt idx="3">
                  <c:v>2.85</c:v>
                </c:pt>
                <c:pt idx="4">
                  <c:v>3.25</c:v>
                </c:pt>
                <c:pt idx="5">
                  <c:v>3.39</c:v>
                </c:pt>
                <c:pt idx="6">
                  <c:v>3.43</c:v>
                </c:pt>
                <c:pt idx="7">
                  <c:v>3.43</c:v>
                </c:pt>
                <c:pt idx="8">
                  <c:v>3.43</c:v>
                </c:pt>
                <c:pt idx="9">
                  <c:v>3.36</c:v>
                </c:pt>
                <c:pt idx="10">
                  <c:v>3.29</c:v>
                </c:pt>
                <c:pt idx="11">
                  <c:v>3.29</c:v>
                </c:pt>
                <c:pt idx="12">
                  <c:v>3.16</c:v>
                </c:pt>
                <c:pt idx="13">
                  <c:v>3.08</c:v>
                </c:pt>
                <c:pt idx="14">
                  <c:v>3</c:v>
                </c:pt>
                <c:pt idx="15">
                  <c:v>2.89</c:v>
                </c:pt>
                <c:pt idx="16">
                  <c:v>3.56</c:v>
                </c:pt>
                <c:pt idx="17">
                  <c:v>3.46</c:v>
                </c:pt>
                <c:pt idx="18">
                  <c:v>3.38</c:v>
                </c:pt>
                <c:pt idx="19">
                  <c:v>3.39</c:v>
                </c:pt>
                <c:pt idx="20">
                  <c:v>3.42</c:v>
                </c:pt>
                <c:pt idx="21">
                  <c:v>3.37</c:v>
                </c:pt>
                <c:pt idx="22">
                  <c:v>3.32</c:v>
                </c:pt>
                <c:pt idx="23">
                  <c:v>3.25</c:v>
                </c:pt>
              </c:numCache>
            </c:numRef>
          </c:val>
          <c:extLst>
            <c:ext xmlns:c16="http://schemas.microsoft.com/office/drawing/2014/chart" uri="{C3380CC4-5D6E-409C-BE32-E72D297353CC}">
              <c16:uniqueId val="{00000000-BC46-4174-B3E8-FDB54C8CEC83}"/>
            </c:ext>
          </c:extLst>
        </c:ser>
        <c:ser>
          <c:idx val="0"/>
          <c:order val="1"/>
          <c:tx>
            <c:strRef>
              <c:f>'US Chart'!$A$7</c:f>
              <c:strCache>
                <c:ptCount val="1"/>
                <c:pt idx="0">
                  <c:v>Unexpended $$ (billions)</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'US Chart'!$B$7:$Y$7</c:f>
              <c:numCache>
                <c:formatCode>"$"#,##0.00</c:formatCode>
                <c:ptCount val="24"/>
                <c:pt idx="0">
                  <c:v>3.033575865409996</c:v>
                </c:pt>
                <c:pt idx="1">
                  <c:v>2.9443317139199983</c:v>
                </c:pt>
                <c:pt idx="2">
                  <c:v>2.8822469040800018</c:v>
                </c:pt>
                <c:pt idx="3">
                  <c:v>2.8029219449400022</c:v>
                </c:pt>
                <c:pt idx="4">
                  <c:v>3.2032934859000015</c:v>
                </c:pt>
                <c:pt idx="5">
                  <c:v>3.3420862042600024</c:v>
                </c:pt>
                <c:pt idx="6">
                  <c:v>3.3815534093399964</c:v>
                </c:pt>
                <c:pt idx="7">
                  <c:v>3.3741574572399977</c:v>
                </c:pt>
                <c:pt idx="8">
                  <c:v>3.3645987558799972</c:v>
                </c:pt>
                <c:pt idx="9">
                  <c:v>3.2962625077299958</c:v>
                </c:pt>
                <c:pt idx="10">
                  <c:v>3.2321113471699983</c:v>
                </c:pt>
                <c:pt idx="11">
                  <c:v>3.2321113471699983</c:v>
                </c:pt>
                <c:pt idx="12">
                  <c:v>3.1002064133799974</c:v>
                </c:pt>
                <c:pt idx="13">
                  <c:v>3.0236046714599989</c:v>
                </c:pt>
                <c:pt idx="14">
                  <c:v>2.9417699510599977</c:v>
                </c:pt>
                <c:pt idx="15">
                  <c:v>2.8397359367600021</c:v>
                </c:pt>
                <c:pt idx="16">
                  <c:v>3.5019987663800047</c:v>
                </c:pt>
                <c:pt idx="17">
                  <c:v>3.4070424760100022</c:v>
                </c:pt>
                <c:pt idx="18">
                  <c:v>3.3262852529200058</c:v>
                </c:pt>
                <c:pt idx="19">
                  <c:v>3.3412468479300004</c:v>
                </c:pt>
                <c:pt idx="20">
                  <c:v>3.3678735871399992</c:v>
                </c:pt>
                <c:pt idx="21">
                  <c:v>3.3117770370900041</c:v>
                </c:pt>
                <c:pt idx="22">
                  <c:v>3.2669811682799987</c:v>
                </c:pt>
                <c:pt idx="23">
                  <c:v>3.1975689375400007</c:v>
                </c:pt>
              </c:numCache>
            </c:numRef>
          </c:val>
          <c:extLst>
            <c:ext xmlns:c16="http://schemas.microsoft.com/office/drawing/2014/chart" uri="{C3380CC4-5D6E-409C-BE32-E72D297353CC}">
              <c16:uniqueId val="{00000001-BC46-4174-B3E8-FDB54C8CEC83}"/>
            </c:ext>
          </c:extLst>
        </c:ser>
        <c:dLbls>
          <c:showLegendKey val="0"/>
          <c:showVal val="0"/>
          <c:showCatName val="0"/>
          <c:showSerName val="0"/>
          <c:showPercent val="0"/>
          <c:showBubbleSize val="0"/>
        </c:dLbls>
        <c:gapWidth val="150"/>
        <c:axId val="443836448"/>
        <c:axId val="1"/>
      </c:barChart>
      <c:lineChart>
        <c:grouping val="standard"/>
        <c:varyColors val="0"/>
        <c:ser>
          <c:idx val="2"/>
          <c:order val="2"/>
          <c:tx>
            <c:strRef>
              <c:f>'US Chart'!$A$8</c:f>
              <c:strCache>
                <c:ptCount val="1"/>
                <c:pt idx="0">
                  <c:v>Expenditure Ratio</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val>
            <c:numRef>
              <c:f>'US Chart'!$B$8:$Y$8</c:f>
              <c:numCache>
                <c:formatCode>0.00</c:formatCode>
                <c:ptCount val="24"/>
                <c:pt idx="0">
                  <c:v>0.91</c:v>
                </c:pt>
                <c:pt idx="1">
                  <c:v>0.91</c:v>
                </c:pt>
                <c:pt idx="2">
                  <c:v>0.92</c:v>
                </c:pt>
                <c:pt idx="3">
                  <c:v>0.94</c:v>
                </c:pt>
                <c:pt idx="4">
                  <c:v>0.92</c:v>
                </c:pt>
                <c:pt idx="5">
                  <c:v>0.93</c:v>
                </c:pt>
                <c:pt idx="6">
                  <c:v>0.94</c:v>
                </c:pt>
                <c:pt idx="7">
                  <c:v>0.93</c:v>
                </c:pt>
                <c:pt idx="8">
                  <c:v>0.96</c:v>
                </c:pt>
                <c:pt idx="9">
                  <c:v>0.96</c:v>
                </c:pt>
                <c:pt idx="10">
                  <c:v>0.96</c:v>
                </c:pt>
                <c:pt idx="11">
                  <c:v>0.96</c:v>
                </c:pt>
                <c:pt idx="12">
                  <c:v>0.94</c:v>
                </c:pt>
                <c:pt idx="13">
                  <c:v>0.93</c:v>
                </c:pt>
                <c:pt idx="14">
                  <c:v>0.94</c:v>
                </c:pt>
                <c:pt idx="15">
                  <c:v>0.95</c:v>
                </c:pt>
                <c:pt idx="16">
                  <c:v>0.97</c:v>
                </c:pt>
                <c:pt idx="17">
                  <c:v>0.98</c:v>
                </c:pt>
                <c:pt idx="18">
                  <c:v>0.99</c:v>
                </c:pt>
                <c:pt idx="19">
                  <c:v>0.98</c:v>
                </c:pt>
                <c:pt idx="20">
                  <c:v>0.94</c:v>
                </c:pt>
                <c:pt idx="21">
                  <c:v>0.94</c:v>
                </c:pt>
                <c:pt idx="22">
                  <c:v>0.96</c:v>
                </c:pt>
                <c:pt idx="23">
                  <c:v>0.96</c:v>
                </c:pt>
              </c:numCache>
            </c:numRef>
          </c:val>
          <c:smooth val="0"/>
          <c:extLst>
            <c:ext xmlns:c16="http://schemas.microsoft.com/office/drawing/2014/chart" uri="{C3380CC4-5D6E-409C-BE32-E72D297353CC}">
              <c16:uniqueId val="{00000002-BC46-4174-B3E8-FDB54C8CEC83}"/>
            </c:ext>
          </c:extLst>
        </c:ser>
        <c:dLbls>
          <c:showLegendKey val="0"/>
          <c:showVal val="0"/>
          <c:showCatName val="0"/>
          <c:showSerName val="0"/>
          <c:showPercent val="0"/>
          <c:showBubbleSize val="0"/>
        </c:dLbls>
        <c:marker val="1"/>
        <c:smooth val="0"/>
        <c:axId val="3"/>
        <c:axId val="4"/>
      </c:lineChart>
      <c:catAx>
        <c:axId val="4438364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0"/>
        <c:lblAlgn val="ctr"/>
        <c:lblOffset val="100"/>
        <c:tickLblSkip val="1"/>
        <c:tickMarkSkip val="1"/>
        <c:noMultiLvlLbl val="0"/>
      </c:catAx>
      <c:valAx>
        <c:axId val="1"/>
        <c:scaling>
          <c:orientation val="minMax"/>
        </c:scaling>
        <c:delete val="0"/>
        <c:axPos val="l"/>
        <c:numFmt formatCode="0.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438364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noFill/>
        <a:ln w="12700">
          <a:solidFill>
            <a:srgbClr val="000000"/>
          </a:solidFill>
          <a:prstDash val="solid"/>
        </a:ln>
      </c:spPr>
    </c:plotArea>
    <c:legend>
      <c:legendPos val="r"/>
      <c:layout>
        <c:manualLayout>
          <c:xMode val="edge"/>
          <c:yMode val="edge"/>
          <c:x val="0.15254245024825103"/>
          <c:y val="0.86738501773299836"/>
          <c:w val="0.69638932568948397"/>
          <c:h val="9.3190152306230511E-2"/>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Header>&amp;A</c:oddHeader>
      <c:oddFooter>Page &amp;P</c:oddFooter>
    </c:headerFooter>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US"/>
              <a:t>Comparison of Unexpended Ratio to Annual Expenditure Rate</a:t>
            </a:r>
          </a:p>
        </c:rich>
      </c:tx>
      <c:layout>
        <c:manualLayout>
          <c:xMode val="edge"/>
          <c:yMode val="edge"/>
          <c:x val="0.24921149258750222"/>
          <c:y val="2.7681649511679379E-2"/>
        </c:manualLayout>
      </c:layout>
      <c:overlay val="0"/>
      <c:spPr>
        <a:noFill/>
        <a:ln w="25400">
          <a:noFill/>
        </a:ln>
      </c:spPr>
    </c:title>
    <c:autoTitleDeleted val="0"/>
    <c:plotArea>
      <c:layout>
        <c:manualLayout>
          <c:layoutTarget val="inner"/>
          <c:xMode val="edge"/>
          <c:yMode val="edge"/>
          <c:x val="7.3143112558360202E-2"/>
          <c:y val="9.4079976983452149E-2"/>
          <c:w val="0.87882715616899043"/>
          <c:h val="0.72056374955411118"/>
        </c:manualLayout>
      </c:layout>
      <c:barChart>
        <c:barDir val="col"/>
        <c:grouping val="clustered"/>
        <c:varyColors val="0"/>
        <c:ser>
          <c:idx val="1"/>
          <c:order val="0"/>
          <c:tx>
            <c:strRef>
              <c:f>'State Chart'!$A$6</c:f>
              <c:strCache>
                <c:ptCount val="1"/>
                <c:pt idx="0">
                  <c:v>Unexpended Ratio</c:v>
                </c:pt>
              </c:strCache>
            </c:strRef>
          </c:tx>
          <c:spPr>
            <a:solidFill>
              <a:srgbClr val="00FF00"/>
            </a:solidFill>
            <a:ln w="12700">
              <a:solidFill>
                <a:srgbClr val="000000"/>
              </a:solidFill>
              <a:prstDash val="solid"/>
            </a:ln>
          </c:spPr>
          <c:invertIfNegative val="0"/>
          <c:cat>
            <c:strRef>
              <c:f>'State Chart'!$B$5:$Y$5</c:f>
              <c:strCache>
                <c:ptCount val="24"/>
                <c:pt idx="0">
                  <c:v>May'24</c:v>
                </c:pt>
                <c:pt idx="1">
                  <c:v>Jun'24</c:v>
                </c:pt>
                <c:pt idx="2">
                  <c:v>Jul'24</c:v>
                </c:pt>
                <c:pt idx="3">
                  <c:v>Aug'24</c:v>
                </c:pt>
                <c:pt idx="4">
                  <c:v>Sep'24</c:v>
                </c:pt>
                <c:pt idx="5">
                  <c:v>Oct'24</c:v>
                </c:pt>
                <c:pt idx="6">
                  <c:v>Nov'24</c:v>
                </c:pt>
                <c:pt idx="7">
                  <c:v>Dec'24</c:v>
                </c:pt>
                <c:pt idx="8">
                  <c:v>Jan'25</c:v>
                </c:pt>
                <c:pt idx="9">
                  <c:v>Feb'25</c:v>
                </c:pt>
                <c:pt idx="10">
                  <c:v>Mar'25</c:v>
                </c:pt>
                <c:pt idx="11">
                  <c:v>Apr'25</c:v>
                </c:pt>
                <c:pt idx="12">
                  <c:v>May'25</c:v>
                </c:pt>
                <c:pt idx="13">
                  <c:v>Jun'25</c:v>
                </c:pt>
                <c:pt idx="14">
                  <c:v>Jul'25</c:v>
                </c:pt>
                <c:pt idx="15">
                  <c:v>Aug'25</c:v>
                </c:pt>
                <c:pt idx="16">
                  <c:v>Sep'25</c:v>
                </c:pt>
                <c:pt idx="17">
                  <c:v>Oct'25</c:v>
                </c:pt>
                <c:pt idx="18">
                  <c:v>Nov'25</c:v>
                </c:pt>
                <c:pt idx="19">
                  <c:v>Dec'25</c:v>
                </c:pt>
                <c:pt idx="20">
                  <c:v>Jan'26</c:v>
                </c:pt>
                <c:pt idx="21">
                  <c:v>Feb'26</c:v>
                </c:pt>
                <c:pt idx="22">
                  <c:v>Mar'26</c:v>
                </c:pt>
                <c:pt idx="23">
                  <c:v>Apr'26</c:v>
                </c:pt>
              </c:strCache>
            </c:strRef>
          </c:cat>
          <c:val>
            <c:numRef>
              <c:f>'State Chart'!$B$6:$Y$6</c:f>
              <c:numCache>
                <c:formatCode>0.00</c:formatCode>
                <c:ptCount val="24"/>
                <c:pt idx="0">
                  <c:v>2.87</c:v>
                </c:pt>
                <c:pt idx="1">
                  <c:v>2.79</c:v>
                </c:pt>
                <c:pt idx="2">
                  <c:v>2.69</c:v>
                </c:pt>
                <c:pt idx="3">
                  <c:v>2.69</c:v>
                </c:pt>
                <c:pt idx="4">
                  <c:v>3.71</c:v>
                </c:pt>
                <c:pt idx="5">
                  <c:v>3.71</c:v>
                </c:pt>
                <c:pt idx="6">
                  <c:v>3.58</c:v>
                </c:pt>
                <c:pt idx="7">
                  <c:v>3.48</c:v>
                </c:pt>
                <c:pt idx="8">
                  <c:v>3.46</c:v>
                </c:pt>
                <c:pt idx="9">
                  <c:v>3.43</c:v>
                </c:pt>
                <c:pt idx="10">
                  <c:v>3.39</c:v>
                </c:pt>
                <c:pt idx="11">
                  <c:v>3.39</c:v>
                </c:pt>
                <c:pt idx="12">
                  <c:v>3.28</c:v>
                </c:pt>
                <c:pt idx="13">
                  <c:v>3.28</c:v>
                </c:pt>
                <c:pt idx="14">
                  <c:v>3.27</c:v>
                </c:pt>
                <c:pt idx="15">
                  <c:v>3.27</c:v>
                </c:pt>
                <c:pt idx="16">
                  <c:v>4.28</c:v>
                </c:pt>
                <c:pt idx="17">
                  <c:v>4.26</c:v>
                </c:pt>
                <c:pt idx="18">
                  <c:v>4.26</c:v>
                </c:pt>
                <c:pt idx="19">
                  <c:v>4.0999999999999996</c:v>
                </c:pt>
                <c:pt idx="20">
                  <c:v>3.75</c:v>
                </c:pt>
                <c:pt idx="21">
                  <c:v>3.73</c:v>
                </c:pt>
                <c:pt idx="22">
                  <c:v>3.68</c:v>
                </c:pt>
                <c:pt idx="23">
                  <c:v>3.67</c:v>
                </c:pt>
              </c:numCache>
            </c:numRef>
          </c:val>
          <c:extLst>
            <c:ext xmlns:c16="http://schemas.microsoft.com/office/drawing/2014/chart" uri="{C3380CC4-5D6E-409C-BE32-E72D297353CC}">
              <c16:uniqueId val="{00000000-502C-4141-AB2E-A725D0933437}"/>
            </c:ext>
          </c:extLst>
        </c:ser>
        <c:dLbls>
          <c:showLegendKey val="0"/>
          <c:showVal val="0"/>
          <c:showCatName val="0"/>
          <c:showSerName val="0"/>
          <c:showPercent val="0"/>
          <c:showBubbleSize val="0"/>
        </c:dLbls>
        <c:gapWidth val="150"/>
        <c:axId val="441612272"/>
        <c:axId val="1"/>
      </c:barChart>
      <c:lineChart>
        <c:grouping val="standard"/>
        <c:varyColors val="0"/>
        <c:ser>
          <c:idx val="0"/>
          <c:order val="1"/>
          <c:tx>
            <c:strRef>
              <c:f>'State Chart'!$A$7</c:f>
              <c:strCache>
                <c:ptCount val="1"/>
                <c:pt idx="0">
                  <c:v>Expenditure Rate</c:v>
                </c:pt>
              </c:strCache>
            </c:strRef>
          </c:tx>
          <c:spPr>
            <a:ln w="25400">
              <a:solidFill>
                <a:srgbClr val="FF0000"/>
              </a:solidFill>
              <a:prstDash val="solid"/>
            </a:ln>
          </c:spPr>
          <c:marker>
            <c:symbol val="diamond"/>
            <c:size val="7"/>
            <c:spPr>
              <a:solidFill>
                <a:srgbClr val="FF0000"/>
              </a:solidFill>
              <a:ln>
                <a:solidFill>
                  <a:srgbClr val="000080"/>
                </a:solidFill>
                <a:prstDash val="solid"/>
              </a:ln>
            </c:spPr>
          </c:marker>
          <c:cat>
            <c:strRef>
              <c:f>'State Chart'!$B$5:$Y$5</c:f>
              <c:strCache>
                <c:ptCount val="24"/>
                <c:pt idx="0">
                  <c:v>May'24</c:v>
                </c:pt>
                <c:pt idx="1">
                  <c:v>Jun'24</c:v>
                </c:pt>
                <c:pt idx="2">
                  <c:v>Jul'24</c:v>
                </c:pt>
                <c:pt idx="3">
                  <c:v>Aug'24</c:v>
                </c:pt>
                <c:pt idx="4">
                  <c:v>Sep'24</c:v>
                </c:pt>
                <c:pt idx="5">
                  <c:v>Oct'24</c:v>
                </c:pt>
                <c:pt idx="6">
                  <c:v>Nov'24</c:v>
                </c:pt>
                <c:pt idx="7">
                  <c:v>Dec'24</c:v>
                </c:pt>
                <c:pt idx="8">
                  <c:v>Jan'25</c:v>
                </c:pt>
                <c:pt idx="9">
                  <c:v>Feb'25</c:v>
                </c:pt>
                <c:pt idx="10">
                  <c:v>Mar'25</c:v>
                </c:pt>
                <c:pt idx="11">
                  <c:v>Apr'25</c:v>
                </c:pt>
                <c:pt idx="12">
                  <c:v>May'25</c:v>
                </c:pt>
                <c:pt idx="13">
                  <c:v>Jun'25</c:v>
                </c:pt>
                <c:pt idx="14">
                  <c:v>Jul'25</c:v>
                </c:pt>
                <c:pt idx="15">
                  <c:v>Aug'25</c:v>
                </c:pt>
                <c:pt idx="16">
                  <c:v>Sep'25</c:v>
                </c:pt>
                <c:pt idx="17">
                  <c:v>Oct'25</c:v>
                </c:pt>
                <c:pt idx="18">
                  <c:v>Nov'25</c:v>
                </c:pt>
                <c:pt idx="19">
                  <c:v>Dec'25</c:v>
                </c:pt>
                <c:pt idx="20">
                  <c:v>Jan'26</c:v>
                </c:pt>
                <c:pt idx="21">
                  <c:v>Feb'26</c:v>
                </c:pt>
                <c:pt idx="22">
                  <c:v>Mar'26</c:v>
                </c:pt>
                <c:pt idx="23">
                  <c:v>Apr'26</c:v>
                </c:pt>
              </c:strCache>
            </c:strRef>
          </c:cat>
          <c:val>
            <c:numRef>
              <c:f>'State Chart'!$B$7:$Y$7</c:f>
              <c:numCache>
                <c:formatCode>0.00</c:formatCode>
                <c:ptCount val="24"/>
                <c:pt idx="0">
                  <c:v>0.79</c:v>
                </c:pt>
                <c:pt idx="1">
                  <c:v>0.83</c:v>
                </c:pt>
                <c:pt idx="2">
                  <c:v>0.93</c:v>
                </c:pt>
                <c:pt idx="3">
                  <c:v>0.87</c:v>
                </c:pt>
                <c:pt idx="4">
                  <c:v>0.88</c:v>
                </c:pt>
                <c:pt idx="5">
                  <c:v>0.81</c:v>
                </c:pt>
                <c:pt idx="6">
                  <c:v>0.94</c:v>
                </c:pt>
                <c:pt idx="7">
                  <c:v>1.02</c:v>
                </c:pt>
                <c:pt idx="8">
                  <c:v>0.82</c:v>
                </c:pt>
                <c:pt idx="9">
                  <c:v>0.86</c:v>
                </c:pt>
                <c:pt idx="10">
                  <c:v>0.6</c:v>
                </c:pt>
                <c:pt idx="11">
                  <c:v>0.6</c:v>
                </c:pt>
                <c:pt idx="12">
                  <c:v>0.61</c:v>
                </c:pt>
                <c:pt idx="13">
                  <c:v>0.54</c:v>
                </c:pt>
                <c:pt idx="14">
                  <c:v>0.43</c:v>
                </c:pt>
                <c:pt idx="15">
                  <c:v>0.43</c:v>
                </c:pt>
                <c:pt idx="16">
                  <c:v>0.53</c:v>
                </c:pt>
                <c:pt idx="17">
                  <c:v>0.54</c:v>
                </c:pt>
                <c:pt idx="18">
                  <c:v>0.42</c:v>
                </c:pt>
                <c:pt idx="19">
                  <c:v>0.48</c:v>
                </c:pt>
                <c:pt idx="20">
                  <c:v>0.81</c:v>
                </c:pt>
                <c:pt idx="21">
                  <c:v>0.8</c:v>
                </c:pt>
                <c:pt idx="22">
                  <c:v>0.81</c:v>
                </c:pt>
                <c:pt idx="23">
                  <c:v>0.72</c:v>
                </c:pt>
              </c:numCache>
            </c:numRef>
          </c:val>
          <c:smooth val="0"/>
          <c:extLst>
            <c:ext xmlns:c16="http://schemas.microsoft.com/office/drawing/2014/chart" uri="{C3380CC4-5D6E-409C-BE32-E72D297353CC}">
              <c16:uniqueId val="{00000001-502C-4141-AB2E-A725D0933437}"/>
            </c:ext>
          </c:extLst>
        </c:ser>
        <c:dLbls>
          <c:showLegendKey val="0"/>
          <c:showVal val="0"/>
          <c:showCatName val="0"/>
          <c:showSerName val="0"/>
          <c:showPercent val="0"/>
          <c:showBubbleSize val="0"/>
        </c:dLbls>
        <c:marker val="1"/>
        <c:smooth val="0"/>
        <c:axId val="3"/>
        <c:axId val="4"/>
      </c:lineChart>
      <c:catAx>
        <c:axId val="441612272"/>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US"/>
                  <a:t>Past Two Years</a:t>
                </a:r>
              </a:p>
            </c:rich>
          </c:tx>
          <c:layout>
            <c:manualLayout>
              <c:xMode val="edge"/>
              <c:yMode val="edge"/>
              <c:x val="0.45425907746054528"/>
              <c:y val="0.8858131134862060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At val="0"/>
        <c:auto val="0"/>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ysDash"/>
            </a:ln>
          </c:spPr>
        </c:majorGridlines>
        <c:title>
          <c:tx>
            <c:rich>
              <a:bodyPr/>
              <a:lstStyle/>
              <a:p>
                <a:pPr>
                  <a:defRPr sz="1000" b="0" i="0" u="none" strike="noStrike" baseline="0">
                    <a:solidFill>
                      <a:srgbClr val="000000"/>
                    </a:solidFill>
                    <a:latin typeface="Calibri"/>
                    <a:ea typeface="Calibri"/>
                    <a:cs typeface="Calibri"/>
                  </a:defRPr>
                </a:pPr>
                <a:r>
                  <a:rPr lang="en-US"/>
                  <a:t>Ratios</a:t>
                </a:r>
              </a:p>
            </c:rich>
          </c:tx>
          <c:layout>
            <c:manualLayout>
              <c:xMode val="edge"/>
              <c:yMode val="edge"/>
              <c:x val="1.6824350094673247E-2"/>
              <c:y val="0.44982713367725585"/>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41612272"/>
        <c:crosses val="autoZero"/>
        <c:crossBetween val="between"/>
        <c:majorUnit val="0.5"/>
        <c:minorUnit val="0.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plotArea>
    <c:legend>
      <c:legendPos val="r"/>
      <c:layout>
        <c:manualLayout>
          <c:xMode val="edge"/>
          <c:yMode val="edge"/>
          <c:wMode val="edge"/>
          <c:hMode val="edge"/>
          <c:x val="0.36510635224767152"/>
          <c:y val="0.93416927899686519"/>
          <c:w val="0.62127658806191788"/>
          <c:h val="0.97492163009404387"/>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Header>&amp;A</c:oddHeader>
      <c:oddFooter>Page &amp;P</c:oddFooter>
    </c:headerFooter>
    <c:pageMargins b="1" l="0.75" r="0.75"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US"/>
              <a:t>Comparison of Unexpended Ratio to Annual Expenditure Rate</a:t>
            </a:r>
          </a:p>
        </c:rich>
      </c:tx>
      <c:overlay val="0"/>
      <c:spPr>
        <a:noFill/>
        <a:ln w="25400">
          <a:noFill/>
        </a:ln>
      </c:spPr>
    </c:title>
    <c:autoTitleDeleted val="0"/>
    <c:plotArea>
      <c:layout>
        <c:manualLayout>
          <c:layoutTarget val="inner"/>
          <c:xMode val="edge"/>
          <c:yMode val="edge"/>
          <c:x val="6.8775813188740695E-2"/>
          <c:y val="0.13599707059905389"/>
          <c:w val="0.90098432622121916"/>
          <c:h val="0.60964750196746231"/>
        </c:manualLayout>
      </c:layout>
      <c:barChart>
        <c:barDir val="col"/>
        <c:grouping val="clustered"/>
        <c:varyColors val="0"/>
        <c:ser>
          <c:idx val="1"/>
          <c:order val="0"/>
          <c:tx>
            <c:strRef>
              <c:f>'State Chart'!$A$6</c:f>
              <c:strCache>
                <c:ptCount val="1"/>
                <c:pt idx="0">
                  <c:v>Unexpended Ratio</c:v>
                </c:pt>
              </c:strCache>
            </c:strRef>
          </c:tx>
          <c:spPr>
            <a:solidFill>
              <a:srgbClr val="00FF00"/>
            </a:solidFill>
            <a:ln w="12700">
              <a:solidFill>
                <a:srgbClr val="000000"/>
              </a:solidFill>
              <a:prstDash val="solid"/>
            </a:ln>
          </c:spPr>
          <c:invertIfNegative val="0"/>
          <c:cat>
            <c:strRef>
              <c:f>'State Chart'!$B$5:$Y$5</c:f>
              <c:strCache>
                <c:ptCount val="24"/>
                <c:pt idx="0">
                  <c:v>May'24</c:v>
                </c:pt>
                <c:pt idx="1">
                  <c:v>Jun'24</c:v>
                </c:pt>
                <c:pt idx="2">
                  <c:v>Jul'24</c:v>
                </c:pt>
                <c:pt idx="3">
                  <c:v>Aug'24</c:v>
                </c:pt>
                <c:pt idx="4">
                  <c:v>Sep'24</c:v>
                </c:pt>
                <c:pt idx="5">
                  <c:v>Oct'24</c:v>
                </c:pt>
                <c:pt idx="6">
                  <c:v>Nov'24</c:v>
                </c:pt>
                <c:pt idx="7">
                  <c:v>Dec'24</c:v>
                </c:pt>
                <c:pt idx="8">
                  <c:v>Jan'25</c:v>
                </c:pt>
                <c:pt idx="9">
                  <c:v>Feb'25</c:v>
                </c:pt>
                <c:pt idx="10">
                  <c:v>Mar'25</c:v>
                </c:pt>
                <c:pt idx="11">
                  <c:v>Apr'25</c:v>
                </c:pt>
                <c:pt idx="12">
                  <c:v>May'25</c:v>
                </c:pt>
                <c:pt idx="13">
                  <c:v>Jun'25</c:v>
                </c:pt>
                <c:pt idx="14">
                  <c:v>Jul'25</c:v>
                </c:pt>
                <c:pt idx="15">
                  <c:v>Aug'25</c:v>
                </c:pt>
                <c:pt idx="16">
                  <c:v>Sep'25</c:v>
                </c:pt>
                <c:pt idx="17">
                  <c:v>Oct'25</c:v>
                </c:pt>
                <c:pt idx="18">
                  <c:v>Nov'25</c:v>
                </c:pt>
                <c:pt idx="19">
                  <c:v>Dec'25</c:v>
                </c:pt>
                <c:pt idx="20">
                  <c:v>Jan'26</c:v>
                </c:pt>
                <c:pt idx="21">
                  <c:v>Feb'26</c:v>
                </c:pt>
                <c:pt idx="22">
                  <c:v>Mar'26</c:v>
                </c:pt>
                <c:pt idx="23">
                  <c:v>Apr'26</c:v>
                </c:pt>
              </c:strCache>
            </c:strRef>
          </c:cat>
          <c:val>
            <c:numRef>
              <c:f>'State Chart'!$B$6:$Y$6</c:f>
              <c:numCache>
                <c:formatCode>0.00</c:formatCode>
                <c:ptCount val="24"/>
                <c:pt idx="0">
                  <c:v>2.87</c:v>
                </c:pt>
                <c:pt idx="1">
                  <c:v>2.79</c:v>
                </c:pt>
                <c:pt idx="2">
                  <c:v>2.69</c:v>
                </c:pt>
                <c:pt idx="3">
                  <c:v>2.69</c:v>
                </c:pt>
                <c:pt idx="4">
                  <c:v>3.71</c:v>
                </c:pt>
                <c:pt idx="5">
                  <c:v>3.71</c:v>
                </c:pt>
                <c:pt idx="6">
                  <c:v>3.58</c:v>
                </c:pt>
                <c:pt idx="7">
                  <c:v>3.48</c:v>
                </c:pt>
                <c:pt idx="8">
                  <c:v>3.46</c:v>
                </c:pt>
                <c:pt idx="9">
                  <c:v>3.43</c:v>
                </c:pt>
                <c:pt idx="10">
                  <c:v>3.39</c:v>
                </c:pt>
                <c:pt idx="11">
                  <c:v>3.39</c:v>
                </c:pt>
                <c:pt idx="12">
                  <c:v>3.28</c:v>
                </c:pt>
                <c:pt idx="13">
                  <c:v>3.28</c:v>
                </c:pt>
                <c:pt idx="14">
                  <c:v>3.27</c:v>
                </c:pt>
                <c:pt idx="15">
                  <c:v>3.27</c:v>
                </c:pt>
                <c:pt idx="16">
                  <c:v>4.28</c:v>
                </c:pt>
                <c:pt idx="17">
                  <c:v>4.26</c:v>
                </c:pt>
                <c:pt idx="18">
                  <c:v>4.26</c:v>
                </c:pt>
                <c:pt idx="19">
                  <c:v>4.0999999999999996</c:v>
                </c:pt>
                <c:pt idx="20">
                  <c:v>3.75</c:v>
                </c:pt>
                <c:pt idx="21">
                  <c:v>3.73</c:v>
                </c:pt>
                <c:pt idx="22">
                  <c:v>3.68</c:v>
                </c:pt>
                <c:pt idx="23">
                  <c:v>3.67</c:v>
                </c:pt>
              </c:numCache>
            </c:numRef>
          </c:val>
          <c:extLst>
            <c:ext xmlns:c16="http://schemas.microsoft.com/office/drawing/2014/chart" uri="{C3380CC4-5D6E-409C-BE32-E72D297353CC}">
              <c16:uniqueId val="{00000000-EFC1-479A-997A-DE8EC2D3CAB1}"/>
            </c:ext>
          </c:extLst>
        </c:ser>
        <c:dLbls>
          <c:showLegendKey val="0"/>
          <c:showVal val="0"/>
          <c:showCatName val="0"/>
          <c:showSerName val="0"/>
          <c:showPercent val="0"/>
          <c:showBubbleSize val="0"/>
        </c:dLbls>
        <c:gapWidth val="150"/>
        <c:axId val="443840768"/>
        <c:axId val="1"/>
      </c:barChart>
      <c:lineChart>
        <c:grouping val="standard"/>
        <c:varyColors val="0"/>
        <c:ser>
          <c:idx val="0"/>
          <c:order val="1"/>
          <c:tx>
            <c:strRef>
              <c:f>'State Chart'!$A$7</c:f>
              <c:strCache>
                <c:ptCount val="1"/>
                <c:pt idx="0">
                  <c:v>Expenditure Rate</c:v>
                </c:pt>
              </c:strCache>
            </c:strRef>
          </c:tx>
          <c:spPr>
            <a:ln w="25400">
              <a:solidFill>
                <a:srgbClr val="FF0000"/>
              </a:solidFill>
              <a:prstDash val="solid"/>
            </a:ln>
          </c:spPr>
          <c:marker>
            <c:symbol val="diamond"/>
            <c:size val="7"/>
            <c:spPr>
              <a:solidFill>
                <a:srgbClr val="FF0000"/>
              </a:solidFill>
              <a:ln>
                <a:solidFill>
                  <a:srgbClr val="000080"/>
                </a:solidFill>
                <a:prstDash val="solid"/>
              </a:ln>
            </c:spPr>
          </c:marker>
          <c:cat>
            <c:strRef>
              <c:f>'State Chart'!$B$5:$Y$5</c:f>
              <c:strCache>
                <c:ptCount val="24"/>
                <c:pt idx="0">
                  <c:v>May'24</c:v>
                </c:pt>
                <c:pt idx="1">
                  <c:v>Jun'24</c:v>
                </c:pt>
                <c:pt idx="2">
                  <c:v>Jul'24</c:v>
                </c:pt>
                <c:pt idx="3">
                  <c:v>Aug'24</c:v>
                </c:pt>
                <c:pt idx="4">
                  <c:v>Sep'24</c:v>
                </c:pt>
                <c:pt idx="5">
                  <c:v>Oct'24</c:v>
                </c:pt>
                <c:pt idx="6">
                  <c:v>Nov'24</c:v>
                </c:pt>
                <c:pt idx="7">
                  <c:v>Dec'24</c:v>
                </c:pt>
                <c:pt idx="8">
                  <c:v>Jan'25</c:v>
                </c:pt>
                <c:pt idx="9">
                  <c:v>Feb'25</c:v>
                </c:pt>
                <c:pt idx="10">
                  <c:v>Mar'25</c:v>
                </c:pt>
                <c:pt idx="11">
                  <c:v>Apr'25</c:v>
                </c:pt>
                <c:pt idx="12">
                  <c:v>May'25</c:v>
                </c:pt>
                <c:pt idx="13">
                  <c:v>Jun'25</c:v>
                </c:pt>
                <c:pt idx="14">
                  <c:v>Jul'25</c:v>
                </c:pt>
                <c:pt idx="15">
                  <c:v>Aug'25</c:v>
                </c:pt>
                <c:pt idx="16">
                  <c:v>Sep'25</c:v>
                </c:pt>
                <c:pt idx="17">
                  <c:v>Oct'25</c:v>
                </c:pt>
                <c:pt idx="18">
                  <c:v>Nov'25</c:v>
                </c:pt>
                <c:pt idx="19">
                  <c:v>Dec'25</c:v>
                </c:pt>
                <c:pt idx="20">
                  <c:v>Jan'26</c:v>
                </c:pt>
                <c:pt idx="21">
                  <c:v>Feb'26</c:v>
                </c:pt>
                <c:pt idx="22">
                  <c:v>Mar'26</c:v>
                </c:pt>
                <c:pt idx="23">
                  <c:v>Apr'26</c:v>
                </c:pt>
              </c:strCache>
            </c:strRef>
          </c:cat>
          <c:val>
            <c:numRef>
              <c:f>'State Chart'!$B$7:$Y$7</c:f>
              <c:numCache>
                <c:formatCode>0.00</c:formatCode>
                <c:ptCount val="24"/>
                <c:pt idx="0">
                  <c:v>0.79</c:v>
                </c:pt>
                <c:pt idx="1">
                  <c:v>0.83</c:v>
                </c:pt>
                <c:pt idx="2">
                  <c:v>0.93</c:v>
                </c:pt>
                <c:pt idx="3">
                  <c:v>0.87</c:v>
                </c:pt>
                <c:pt idx="4">
                  <c:v>0.88</c:v>
                </c:pt>
                <c:pt idx="5">
                  <c:v>0.81</c:v>
                </c:pt>
                <c:pt idx="6">
                  <c:v>0.94</c:v>
                </c:pt>
                <c:pt idx="7">
                  <c:v>1.02</c:v>
                </c:pt>
                <c:pt idx="8">
                  <c:v>0.82</c:v>
                </c:pt>
                <c:pt idx="9">
                  <c:v>0.86</c:v>
                </c:pt>
                <c:pt idx="10">
                  <c:v>0.6</c:v>
                </c:pt>
                <c:pt idx="11">
                  <c:v>0.6</c:v>
                </c:pt>
                <c:pt idx="12">
                  <c:v>0.61</c:v>
                </c:pt>
                <c:pt idx="13">
                  <c:v>0.54</c:v>
                </c:pt>
                <c:pt idx="14">
                  <c:v>0.43</c:v>
                </c:pt>
                <c:pt idx="15">
                  <c:v>0.43</c:v>
                </c:pt>
                <c:pt idx="16">
                  <c:v>0.53</c:v>
                </c:pt>
                <c:pt idx="17">
                  <c:v>0.54</c:v>
                </c:pt>
                <c:pt idx="18">
                  <c:v>0.42</c:v>
                </c:pt>
                <c:pt idx="19">
                  <c:v>0.48</c:v>
                </c:pt>
                <c:pt idx="20">
                  <c:v>0.81</c:v>
                </c:pt>
                <c:pt idx="21">
                  <c:v>0.8</c:v>
                </c:pt>
                <c:pt idx="22">
                  <c:v>0.81</c:v>
                </c:pt>
                <c:pt idx="23">
                  <c:v>0.72</c:v>
                </c:pt>
              </c:numCache>
            </c:numRef>
          </c:val>
          <c:smooth val="0"/>
          <c:extLst>
            <c:ext xmlns:c16="http://schemas.microsoft.com/office/drawing/2014/chart" uri="{C3380CC4-5D6E-409C-BE32-E72D297353CC}">
              <c16:uniqueId val="{00000001-EFC1-479A-997A-DE8EC2D3CAB1}"/>
            </c:ext>
          </c:extLst>
        </c:ser>
        <c:dLbls>
          <c:showLegendKey val="0"/>
          <c:showVal val="0"/>
          <c:showCatName val="0"/>
          <c:showSerName val="0"/>
          <c:showPercent val="0"/>
          <c:showBubbleSize val="0"/>
        </c:dLbls>
        <c:marker val="1"/>
        <c:smooth val="0"/>
        <c:axId val="3"/>
        <c:axId val="4"/>
      </c:lineChart>
      <c:catAx>
        <c:axId val="4438407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en-US"/>
          </a:p>
        </c:txPr>
        <c:crossAx val="1"/>
        <c:crossesAt val="0"/>
        <c:auto val="0"/>
        <c:lblAlgn val="ctr"/>
        <c:lblOffset val="100"/>
        <c:tickLblSkip val="1"/>
        <c:tickMarkSkip val="1"/>
        <c:noMultiLvlLbl val="0"/>
      </c:catAx>
      <c:valAx>
        <c:axId val="1"/>
        <c:scaling>
          <c:orientation val="minMax"/>
          <c:min val="0"/>
        </c:scaling>
        <c:delete val="0"/>
        <c:axPos val="l"/>
        <c:majorGridlines>
          <c:spPr>
            <a:ln w="3175">
              <a:solidFill>
                <a:srgbClr val="000000">
                  <a:alpha val="50000"/>
                </a:srgbClr>
              </a:solidFill>
              <a:prstDash val="sysDash"/>
            </a:ln>
          </c:spPr>
        </c:majorGridlines>
        <c:numFmt formatCode="0.00"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3840768"/>
        <c:crosses val="autoZero"/>
        <c:crossBetween val="between"/>
        <c:majorUnit val="0.5"/>
        <c:minorUnit val="0.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3175">
          <a:solidFill>
            <a:srgbClr val="000000"/>
          </a:solidFill>
          <a:prstDash val="solid"/>
        </a:ln>
      </c:spPr>
    </c:plotArea>
    <c:legend>
      <c:legendPos val="r"/>
      <c:layout>
        <c:manualLayout>
          <c:xMode val="edge"/>
          <c:yMode val="edge"/>
          <c:x val="0.32227070027543997"/>
          <c:y val="0.89053254437869822"/>
          <c:w val="0.36069867700782771"/>
          <c:h val="6.5088757396449703E-2"/>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xdr:colOff>
      <xdr:row>9</xdr:row>
      <xdr:rowOff>114300</xdr:rowOff>
    </xdr:from>
    <xdr:to>
      <xdr:col>25</xdr:col>
      <xdr:colOff>600075</xdr:colOff>
      <xdr:row>42</xdr:row>
      <xdr:rowOff>85725</xdr:rowOff>
    </xdr:to>
    <xdr:graphicFrame macro="">
      <xdr:nvGraphicFramePr>
        <xdr:cNvPr id="3516535" name="Chart 1">
          <a:extLst>
            <a:ext uri="{FF2B5EF4-FFF2-40B4-BE49-F238E27FC236}">
              <a16:creationId xmlns:a16="http://schemas.microsoft.com/office/drawing/2014/main" id="{3CCB620E-5161-7DA4-1BE4-1FF037606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342900</xdr:colOff>
          <xdr:row>55</xdr:row>
          <xdr:rowOff>133350</xdr:rowOff>
        </xdr:from>
        <xdr:to>
          <xdr:col>4</xdr:col>
          <xdr:colOff>374650</xdr:colOff>
          <xdr:row>61</xdr:row>
          <xdr:rowOff>133350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19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0.0005</cdr:x>
      <cdr:y>0.00147</cdr:y>
    </cdr:from>
    <cdr:to>
      <cdr:x>0.0005</cdr:x>
      <cdr:y>0.00147</cdr:y>
    </cdr:to>
    <cdr:sp macro="" textlink="">
      <cdr:nvSpPr>
        <cdr:cNvPr id="3075" name="Line 3"/>
        <cdr:cNvSpPr>
          <a:spLocks xmlns:a="http://schemas.openxmlformats.org/drawingml/2006/main" noChangeShapeType="1"/>
        </cdr:cNvSpPr>
      </cdr:nvSpPr>
      <cdr:spPr bwMode="auto">
        <a:xfrm xmlns:a="http://schemas.openxmlformats.org/drawingml/2006/main">
          <a:off x="0" y="0"/>
          <a:ext cx="0" cy="0"/>
        </a:xfrm>
        <a:prstGeom xmlns:a="http://schemas.openxmlformats.org/drawingml/2006/main" prst="line">
          <a:avLst/>
        </a:prstGeom>
        <a:noFill xmlns:a="http://schemas.openxmlformats.org/drawingml/2006/main"/>
        <a:ln xmlns:a="http://schemas.openxmlformats.org/drawingml/2006/main" w="15875">
          <a:solidFill>
            <a:schemeClr val="accent1"/>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0.0005</cdr:x>
      <cdr:y>0.00147</cdr:y>
    </cdr:from>
    <cdr:to>
      <cdr:x>0.0005</cdr:x>
      <cdr:y>0.00147</cdr:y>
    </cdr:to>
    <cdr:sp macro="" textlink="">
      <cdr:nvSpPr>
        <cdr:cNvPr id="5" name="Line 1"/>
        <cdr:cNvSpPr>
          <a:spLocks xmlns:a="http://schemas.openxmlformats.org/drawingml/2006/main" noChangeShapeType="1"/>
        </cdr:cNvSpPr>
      </cdr:nvSpPr>
      <cdr:spPr bwMode="auto">
        <a:xfrm xmlns:a="http://schemas.openxmlformats.org/drawingml/2006/main">
          <a:off x="-438150" y="-2171700"/>
          <a:ext cx="0" cy="0"/>
        </a:xfrm>
        <a:prstGeom xmlns:a="http://schemas.openxmlformats.org/drawingml/2006/main" prst="line">
          <a:avLst/>
        </a:prstGeom>
        <a:noFill xmlns:a="http://schemas.openxmlformats.org/drawingml/2006/main"/>
        <a:ln xmlns:a="http://schemas.openxmlformats.org/drawingml/2006/main" w="15875">
          <a:solidFill>
            <a:srgbClr val="4F81BD"/>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0.83442</cdr:x>
      <cdr:y>0.23196</cdr:y>
    </cdr:from>
    <cdr:to>
      <cdr:x>0.83472</cdr:x>
      <cdr:y>0.41413</cdr:y>
    </cdr:to>
    <cdr:sp macro="" textlink="">
      <cdr:nvSpPr>
        <cdr:cNvPr id="14" name="Line 2"/>
        <cdr:cNvSpPr>
          <a:spLocks xmlns:a="http://schemas.openxmlformats.org/drawingml/2006/main" noChangeShapeType="1"/>
        </cdr:cNvSpPr>
      </cdr:nvSpPr>
      <cdr:spPr bwMode="auto">
        <a:xfrm xmlns:a="http://schemas.openxmlformats.org/drawingml/2006/main" flipV="1">
          <a:off x="10607979" y="300103"/>
          <a:ext cx="13048" cy="4097053"/>
        </a:xfrm>
        <a:prstGeom xmlns:a="http://schemas.openxmlformats.org/drawingml/2006/main" prst="line">
          <a:avLst/>
        </a:prstGeom>
        <a:noFill xmlns:a="http://schemas.openxmlformats.org/drawingml/2006/main"/>
        <a:ln xmlns:a="http://schemas.openxmlformats.org/drawingml/2006/main" w="15875" cap="rnd">
          <a:solidFill>
            <a:srgbClr val="4F81BD"/>
          </a:solidFill>
          <a:prstDash val="sysDash"/>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76200</xdr:colOff>
      <xdr:row>28</xdr:row>
      <xdr:rowOff>180975</xdr:rowOff>
    </xdr:from>
    <xdr:to>
      <xdr:col>26</xdr:col>
      <xdr:colOff>314325</xdr:colOff>
      <xdr:row>60</xdr:row>
      <xdr:rowOff>161925</xdr:rowOff>
    </xdr:to>
    <xdr:graphicFrame macro="">
      <xdr:nvGraphicFramePr>
        <xdr:cNvPr id="3518702" name="Chart 1">
          <a:extLst>
            <a:ext uri="{FF2B5EF4-FFF2-40B4-BE49-F238E27FC236}">
              <a16:creationId xmlns:a16="http://schemas.microsoft.com/office/drawing/2014/main" id="{A4125A2E-7CA2-7BE6-FAB2-187A5035A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7</xdr:row>
      <xdr:rowOff>95250</xdr:rowOff>
    </xdr:from>
    <xdr:to>
      <xdr:col>26</xdr:col>
      <xdr:colOff>66675</xdr:colOff>
      <xdr:row>24</xdr:row>
      <xdr:rowOff>76200</xdr:rowOff>
    </xdr:to>
    <xdr:graphicFrame macro="">
      <xdr:nvGraphicFramePr>
        <xdr:cNvPr id="3518703" name="Chart 2">
          <a:extLst>
            <a:ext uri="{FF2B5EF4-FFF2-40B4-BE49-F238E27FC236}">
              <a16:creationId xmlns:a16="http://schemas.microsoft.com/office/drawing/2014/main" id="{409E6850-AADA-4AAF-D8BE-38207EA50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0.07077</cdr:x>
      <cdr:y>0.58506</cdr:y>
    </cdr:from>
    <cdr:to>
      <cdr:x>0.95112</cdr:x>
      <cdr:y>0.58631</cdr:y>
    </cdr:to>
    <cdr:sp macro="" textlink="">
      <cdr:nvSpPr>
        <cdr:cNvPr id="5121" name="Line 1"/>
        <cdr:cNvSpPr>
          <a:spLocks xmlns:a="http://schemas.openxmlformats.org/drawingml/2006/main" noChangeShapeType="1"/>
        </cdr:cNvSpPr>
      </cdr:nvSpPr>
      <cdr:spPr bwMode="auto">
        <a:xfrm xmlns:a="http://schemas.openxmlformats.org/drawingml/2006/main" flipV="1">
          <a:off x="773345" y="3738073"/>
          <a:ext cx="9861720" cy="1663"/>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0.07205</cdr:x>
      <cdr:y>0.27814</cdr:y>
    </cdr:from>
    <cdr:to>
      <cdr:x>0.9619</cdr:x>
      <cdr:y>0.28129</cdr:y>
    </cdr:to>
    <cdr:sp macro="" textlink="">
      <cdr:nvSpPr>
        <cdr:cNvPr id="5122" name="Line 2"/>
        <cdr:cNvSpPr>
          <a:spLocks xmlns:a="http://schemas.openxmlformats.org/drawingml/2006/main" noChangeShapeType="1"/>
        </cdr:cNvSpPr>
      </cdr:nvSpPr>
      <cdr:spPr bwMode="auto">
        <a:xfrm xmlns:a="http://schemas.openxmlformats.org/drawingml/2006/main" flipV="1">
          <a:off x="782228" y="1837418"/>
          <a:ext cx="9948366" cy="13297"/>
        </a:xfrm>
        <a:prstGeom xmlns:a="http://schemas.openxmlformats.org/drawingml/2006/main" prst="line">
          <a:avLst/>
        </a:prstGeom>
        <a:noFill xmlns:a="http://schemas.openxmlformats.org/drawingml/2006/main"/>
        <a:ln xmlns:a="http://schemas.openxmlformats.org/drawingml/2006/main" w="19050">
          <a:solidFill>
            <a:schemeClr val="accent6">
              <a:lumMod val="75000"/>
            </a:schemeClr>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12700</xdr:colOff>
          <xdr:row>1</xdr:row>
          <xdr:rowOff>285750</xdr:rowOff>
        </xdr:from>
        <xdr:to>
          <xdr:col>12</xdr:col>
          <xdr:colOff>0</xdr:colOff>
          <xdr:row>1</xdr:row>
          <xdr:rowOff>546100</xdr:rowOff>
        </xdr:to>
        <xdr:sp macro="" textlink="">
          <xdr:nvSpPr>
            <xdr:cNvPr id="113670" name="Button 6" hidden="1">
              <a:extLst>
                <a:ext uri="{63B3BB69-23CF-44E3-9099-C40C66FF867C}">
                  <a14:compatExt spid="_x0000_s113670"/>
                </a:ext>
                <a:ext uri="{FF2B5EF4-FFF2-40B4-BE49-F238E27FC236}">
                  <a16:creationId xmlns:a16="http://schemas.microsoft.com/office/drawing/2014/main" id="{00000000-0008-0000-1B00-000006BC01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1" u="none" strike="noStrike" baseline="0">
                  <a:solidFill>
                    <a:srgbClr val="339966"/>
                  </a:solidFill>
                  <a:latin typeface="Arial"/>
                  <a:cs typeface="Arial"/>
                </a:rPr>
                <a:t>SORT</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H23545\Local%20Settings\Temporary%20Internet%20Files\Content.Outlook\A77F7K2F\Expend%20Rank%20Apr'09%20draft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t'08"/>
      <sheetName val="Nov'08"/>
      <sheetName val="Dec'08"/>
      <sheetName val="Jan'09"/>
      <sheetName val="Feb'09"/>
      <sheetName val="Mar'09"/>
      <sheetName val="Apr'09"/>
      <sheetName val="US"/>
      <sheetName val="Chart1"/>
      <sheetName val="Rankings"/>
      <sheetName val="col descrip"/>
      <sheetName val="tables"/>
      <sheetName val="States by Mo"/>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xml"/><Relationship Id="rId1" Type="http://schemas.openxmlformats.org/officeDocument/2006/relationships/printerSettings" Target="../printerSettings/printerSettings26.bin"/><Relationship Id="rId6" Type="http://schemas.openxmlformats.org/officeDocument/2006/relationships/comments" Target="../comments26.xml"/><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x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5.xml"/><Relationship Id="rId1" Type="http://schemas.openxmlformats.org/officeDocument/2006/relationships/printerSettings" Target="../printerSettings/printerSettings28.bin"/><Relationship Id="rId5" Type="http://schemas.openxmlformats.org/officeDocument/2006/relationships/comments" Target="../comments28.xml"/><Relationship Id="rId4" Type="http://schemas.openxmlformats.org/officeDocument/2006/relationships/ctrlProp" Target="../ctrlProps/ctrlProp1.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2D08-1F99-458D-BE2B-371088A23EC8}">
  <sheetPr>
    <tabColor rgb="FF92D050"/>
    <pageSetUpPr fitToPage="1"/>
  </sheetPr>
  <dimension ref="A1:Q57"/>
  <sheetViews>
    <sheetView workbookViewId="0">
      <pane xSplit="1" ySplit="2" topLeftCell="B6" activePane="bottomRight" state="frozen"/>
      <selection pane="topRight" activeCell="A19" sqref="A19:H81"/>
      <selection pane="bottomLeft" activeCell="A19" sqref="A19:H81"/>
      <selection pane="bottomRight" activeCell="Q1" sqref="Q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customWidth="1"/>
    <col min="17" max="17" width="16.54296875" style="17" hidden="1" customWidth="1"/>
    <col min="18" max="16384" width="9.1796875" style="17"/>
  </cols>
  <sheetData>
    <row r="1" spans="1:17" s="8" customFormat="1" ht="18" x14ac:dyDescent="0.25">
      <c r="A1" s="4" t="s">
        <v>0</v>
      </c>
      <c r="B1" s="178" t="s">
        <v>1</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1115197398.45</v>
      </c>
      <c r="C3" s="13">
        <v>973063955.98000002</v>
      </c>
      <c r="D3" s="13">
        <v>142133442.47000003</v>
      </c>
      <c r="E3" s="13">
        <v>11221534.199999999</v>
      </c>
      <c r="F3" s="13">
        <v>26165562</v>
      </c>
      <c r="G3" s="14">
        <v>5.43</v>
      </c>
      <c r="H3" s="14">
        <v>0.43</v>
      </c>
      <c r="I3" s="13">
        <v>935127.85</v>
      </c>
      <c r="J3" s="15">
        <v>0</v>
      </c>
      <c r="K3" s="13">
        <v>142133442.47000003</v>
      </c>
      <c r="L3" s="13" t="s">
        <v>20</v>
      </c>
      <c r="M3" s="13" t="s">
        <v>20</v>
      </c>
      <c r="N3" s="179">
        <v>43647</v>
      </c>
      <c r="O3" s="16">
        <v>45108</v>
      </c>
      <c r="P3" s="13">
        <v>288320.53999999998</v>
      </c>
      <c r="Q3" s="223" t="e">
        <v>#VALUE!</v>
      </c>
    </row>
    <row r="4" spans="1:17" x14ac:dyDescent="0.2">
      <c r="A4" s="4" t="s">
        <v>21</v>
      </c>
      <c r="B4" s="13">
        <v>1742322911.3599999</v>
      </c>
      <c r="C4" s="13">
        <v>1505711588.05</v>
      </c>
      <c r="D4" s="13">
        <v>236611323.30999994</v>
      </c>
      <c r="E4" s="13">
        <v>30295018.5</v>
      </c>
      <c r="F4" s="13">
        <v>46308393</v>
      </c>
      <c r="G4" s="14">
        <v>5.1100000000000003</v>
      </c>
      <c r="H4" s="14">
        <v>0.65</v>
      </c>
      <c r="I4" s="13">
        <v>2524584.875</v>
      </c>
      <c r="J4" s="15">
        <v>6</v>
      </c>
      <c r="K4" s="13">
        <v>221463814.05999994</v>
      </c>
      <c r="L4" s="13">
        <v>23999089.551666658</v>
      </c>
      <c r="M4" s="13">
        <v>20140056.801666658</v>
      </c>
      <c r="N4" s="179">
        <v>43831</v>
      </c>
      <c r="O4" s="16">
        <v>45292</v>
      </c>
      <c r="P4" s="13">
        <v>3040353.75</v>
      </c>
      <c r="Q4" s="222" t="e">
        <v>#VALUE!</v>
      </c>
    </row>
    <row r="5" spans="1:17" x14ac:dyDescent="0.2">
      <c r="A5" s="4" t="s">
        <v>22</v>
      </c>
      <c r="B5" s="13">
        <v>694863312.32000005</v>
      </c>
      <c r="C5" s="13">
        <v>623392651.02999997</v>
      </c>
      <c r="D5" s="13">
        <v>71470661.290000081</v>
      </c>
      <c r="E5" s="13">
        <v>9599149.6999999993</v>
      </c>
      <c r="F5" s="13">
        <v>14211637</v>
      </c>
      <c r="G5" s="14">
        <v>5.03</v>
      </c>
      <c r="H5" s="14">
        <v>0.68</v>
      </c>
      <c r="I5" s="13">
        <v>799929.1416666666</v>
      </c>
      <c r="J5" s="15">
        <v>0</v>
      </c>
      <c r="K5" s="13">
        <v>71470661.290000081</v>
      </c>
      <c r="L5" s="13" t="s">
        <v>20</v>
      </c>
      <c r="M5" s="13" t="s">
        <v>20</v>
      </c>
      <c r="N5" s="179">
        <v>43647</v>
      </c>
      <c r="O5" s="16">
        <v>45108</v>
      </c>
      <c r="P5" s="13">
        <v>1751843.3</v>
      </c>
      <c r="Q5" s="222" t="e">
        <v>#VALUE!</v>
      </c>
    </row>
    <row r="6" spans="1:17" x14ac:dyDescent="0.2">
      <c r="A6" s="4" t="s">
        <v>23</v>
      </c>
      <c r="B6" s="13">
        <v>1307199339.74</v>
      </c>
      <c r="C6" s="13">
        <v>1171609011.4000001</v>
      </c>
      <c r="D6" s="13">
        <v>135590328.33999991</v>
      </c>
      <c r="E6" s="13">
        <v>14984653.689999999</v>
      </c>
      <c r="F6" s="13">
        <v>29464578</v>
      </c>
      <c r="G6" s="14">
        <v>4.5999999999999996</v>
      </c>
      <c r="H6" s="14">
        <v>0.51</v>
      </c>
      <c r="I6" s="13">
        <v>1248721.1408333334</v>
      </c>
      <c r="J6" s="15">
        <v>6</v>
      </c>
      <c r="K6" s="13">
        <v>128098001.49499992</v>
      </c>
      <c r="L6" s="13">
        <v>12776862.056666652</v>
      </c>
      <c r="M6" s="13">
        <v>10321480.556666652</v>
      </c>
      <c r="N6" s="179">
        <v>43831</v>
      </c>
      <c r="O6" s="16">
        <v>45292</v>
      </c>
      <c r="P6" s="13">
        <v>694419.49</v>
      </c>
      <c r="Q6" s="222" t="e">
        <v>#VALUE!</v>
      </c>
    </row>
    <row r="7" spans="1:17" x14ac:dyDescent="0.2">
      <c r="A7" s="4" t="s">
        <v>24</v>
      </c>
      <c r="B7" s="13">
        <v>1436169229.97</v>
      </c>
      <c r="C7" s="13">
        <v>1284592469.3800001</v>
      </c>
      <c r="D7" s="13">
        <v>151576760.58999991</v>
      </c>
      <c r="E7" s="13">
        <v>28744725.710000001</v>
      </c>
      <c r="F7" s="13">
        <v>33783046</v>
      </c>
      <c r="G7" s="14">
        <v>4.49</v>
      </c>
      <c r="H7" s="14">
        <v>0.85</v>
      </c>
      <c r="I7" s="13">
        <v>2395393.8091666666</v>
      </c>
      <c r="J7" s="15">
        <v>0</v>
      </c>
      <c r="K7" s="13">
        <v>151576760.58999991</v>
      </c>
      <c r="L7" s="13" t="s">
        <v>20</v>
      </c>
      <c r="M7" s="13" t="s">
        <v>20</v>
      </c>
      <c r="N7" s="179">
        <v>43647</v>
      </c>
      <c r="O7" s="16">
        <v>45108</v>
      </c>
      <c r="P7" s="13">
        <v>7170644.6600000001</v>
      </c>
      <c r="Q7" s="222" t="e">
        <v>#VALUE!</v>
      </c>
    </row>
    <row r="8" spans="1:17" x14ac:dyDescent="0.2">
      <c r="A8" s="4" t="s">
        <v>25</v>
      </c>
      <c r="B8" s="13">
        <v>258947994</v>
      </c>
      <c r="C8" s="13">
        <v>231487928.58000001</v>
      </c>
      <c r="D8" s="13">
        <v>27460065.419999987</v>
      </c>
      <c r="E8" s="13">
        <v>5440152.7800000003</v>
      </c>
      <c r="F8" s="13">
        <v>6541090</v>
      </c>
      <c r="G8" s="14">
        <v>4.2</v>
      </c>
      <c r="H8" s="14">
        <v>0.83</v>
      </c>
      <c r="I8" s="13">
        <v>453346.065</v>
      </c>
      <c r="J8" s="15">
        <v>9</v>
      </c>
      <c r="K8" s="13">
        <v>23379950.834999986</v>
      </c>
      <c r="L8" s="13">
        <v>1597542.824444443</v>
      </c>
      <c r="M8" s="13">
        <v>1234148.935555554</v>
      </c>
      <c r="N8" s="179">
        <v>43922</v>
      </c>
      <c r="O8" s="16">
        <v>45383</v>
      </c>
      <c r="P8" s="13">
        <v>61994.09</v>
      </c>
      <c r="Q8" s="222" t="e">
        <v>#VALUE!</v>
      </c>
    </row>
    <row r="9" spans="1:17" x14ac:dyDescent="0.2">
      <c r="A9" s="4" t="s">
        <v>26</v>
      </c>
      <c r="B9" s="13">
        <v>117378745.39</v>
      </c>
      <c r="C9" s="13">
        <v>102857104.98999999</v>
      </c>
      <c r="D9" s="13">
        <v>14521640.400000006</v>
      </c>
      <c r="E9" s="13">
        <v>694344.27</v>
      </c>
      <c r="F9" s="13">
        <v>3536351</v>
      </c>
      <c r="G9" s="14">
        <v>4.1100000000000003</v>
      </c>
      <c r="H9" s="14">
        <v>0.2</v>
      </c>
      <c r="I9" s="13">
        <v>57862.022499999999</v>
      </c>
      <c r="J9" s="15">
        <v>6</v>
      </c>
      <c r="K9" s="13">
        <v>14174468.265000006</v>
      </c>
      <c r="L9" s="13">
        <v>1241489.7333333343</v>
      </c>
      <c r="M9" s="13">
        <v>946793.8166666677</v>
      </c>
      <c r="N9" s="179">
        <v>43831</v>
      </c>
      <c r="O9" s="16">
        <v>45292</v>
      </c>
      <c r="P9" s="13">
        <v>185748.3</v>
      </c>
      <c r="Q9" s="222" t="e">
        <v>#VALUE!</v>
      </c>
    </row>
    <row r="10" spans="1:17" x14ac:dyDescent="0.2">
      <c r="A10" s="4" t="s">
        <v>27</v>
      </c>
      <c r="B10" s="13">
        <v>834419812</v>
      </c>
      <c r="C10" s="13">
        <v>758256864.10000002</v>
      </c>
      <c r="D10" s="13">
        <v>76162947.899999976</v>
      </c>
      <c r="E10" s="13">
        <v>12390877.550000001</v>
      </c>
      <c r="F10" s="13">
        <v>18835586</v>
      </c>
      <c r="G10" s="14">
        <v>4.04</v>
      </c>
      <c r="H10" s="14">
        <v>0.66</v>
      </c>
      <c r="I10" s="13">
        <v>1032573.1291666668</v>
      </c>
      <c r="J10" s="15">
        <v>3</v>
      </c>
      <c r="K10" s="13">
        <v>73065228.512499973</v>
      </c>
      <c r="L10" s="13">
        <v>12830591.966666659</v>
      </c>
      <c r="M10" s="13">
        <v>9691327.6333333254</v>
      </c>
      <c r="N10" s="179">
        <v>43739</v>
      </c>
      <c r="O10" s="16">
        <v>45200</v>
      </c>
      <c r="P10" s="13">
        <v>805074.42</v>
      </c>
      <c r="Q10" s="222" t="e">
        <v>#VALUE!</v>
      </c>
    </row>
    <row r="11" spans="1:17" x14ac:dyDescent="0.2">
      <c r="A11" s="4" t="s">
        <v>28</v>
      </c>
      <c r="B11" s="13">
        <v>1922975437</v>
      </c>
      <c r="C11" s="13">
        <v>1836628033.8599999</v>
      </c>
      <c r="D11" s="13">
        <v>86347403.140000105</v>
      </c>
      <c r="E11" s="13">
        <v>24303426.84</v>
      </c>
      <c r="F11" s="13">
        <v>22385506</v>
      </c>
      <c r="G11" s="14">
        <v>3.86</v>
      </c>
      <c r="H11" s="14">
        <v>1.0900000000000001</v>
      </c>
      <c r="I11" s="13">
        <v>2025285.57</v>
      </c>
      <c r="J11" s="15">
        <v>0</v>
      </c>
      <c r="K11" s="13">
        <v>86347403.140000105</v>
      </c>
      <c r="L11" s="13" t="s">
        <v>20</v>
      </c>
      <c r="M11" s="13" t="s">
        <v>20</v>
      </c>
      <c r="N11" s="179">
        <v>43647</v>
      </c>
      <c r="O11" s="16">
        <v>45108</v>
      </c>
      <c r="P11" s="13">
        <v>2390048.4</v>
      </c>
      <c r="Q11" s="222" t="e">
        <v>#VALUE!</v>
      </c>
    </row>
    <row r="12" spans="1:17" x14ac:dyDescent="0.2">
      <c r="A12" s="4" t="s">
        <v>29</v>
      </c>
      <c r="B12" s="13">
        <v>782983569.92999995</v>
      </c>
      <c r="C12" s="13">
        <v>714378890.58000004</v>
      </c>
      <c r="D12" s="13">
        <v>68604679.349999905</v>
      </c>
      <c r="E12" s="13">
        <v>15031967.07</v>
      </c>
      <c r="F12" s="13">
        <v>17807834</v>
      </c>
      <c r="G12" s="14">
        <v>3.85</v>
      </c>
      <c r="H12" s="14">
        <v>0.84</v>
      </c>
      <c r="I12" s="13">
        <v>1252663.9225000001</v>
      </c>
      <c r="J12" s="15">
        <v>0</v>
      </c>
      <c r="K12" s="13">
        <v>68604679.349999905</v>
      </c>
      <c r="L12" s="13" t="s">
        <v>20</v>
      </c>
      <c r="M12" s="13" t="s">
        <v>20</v>
      </c>
      <c r="N12" s="179">
        <v>43647</v>
      </c>
      <c r="O12" s="16">
        <v>45108</v>
      </c>
      <c r="P12" s="13">
        <v>798486.78</v>
      </c>
      <c r="Q12" s="222" t="e">
        <v>#VALUE!</v>
      </c>
    </row>
    <row r="13" spans="1:17" x14ac:dyDescent="0.2">
      <c r="A13" s="4" t="s">
        <v>30</v>
      </c>
      <c r="B13" s="13">
        <v>1002620982.45</v>
      </c>
      <c r="C13" s="13">
        <v>926377318.86000001</v>
      </c>
      <c r="D13" s="13">
        <v>76243663.590000033</v>
      </c>
      <c r="E13" s="13">
        <v>26965523.039999999</v>
      </c>
      <c r="F13" s="13">
        <v>19866653</v>
      </c>
      <c r="G13" s="14">
        <v>3.84</v>
      </c>
      <c r="H13" s="14">
        <v>1.36</v>
      </c>
      <c r="I13" s="13">
        <v>2247126.92</v>
      </c>
      <c r="J13" s="15">
        <v>9</v>
      </c>
      <c r="K13" s="13">
        <v>56019521.310000032</v>
      </c>
      <c r="L13" s="13">
        <v>4056706.3988888925</v>
      </c>
      <c r="M13" s="13">
        <v>2953003.454444448</v>
      </c>
      <c r="N13" s="179">
        <v>43922</v>
      </c>
      <c r="O13" s="16">
        <v>45383</v>
      </c>
      <c r="P13" s="13">
        <v>1776136</v>
      </c>
      <c r="Q13" s="222" t="e">
        <v>#VALUE!</v>
      </c>
    </row>
    <row r="14" spans="1:17" x14ac:dyDescent="0.2">
      <c r="A14" s="4" t="s">
        <v>31</v>
      </c>
      <c r="B14" s="13">
        <v>482520235</v>
      </c>
      <c r="C14" s="13">
        <v>439627860.87</v>
      </c>
      <c r="D14" s="13">
        <v>42892374.129999995</v>
      </c>
      <c r="E14" s="13">
        <v>8124565.4699999997</v>
      </c>
      <c r="F14" s="13">
        <v>11231021</v>
      </c>
      <c r="G14" s="14">
        <v>3.82</v>
      </c>
      <c r="H14" s="14">
        <v>0.72</v>
      </c>
      <c r="I14" s="13">
        <v>677047.12249999994</v>
      </c>
      <c r="J14" s="15">
        <v>6</v>
      </c>
      <c r="K14" s="13">
        <v>38830091.394999996</v>
      </c>
      <c r="L14" s="13">
        <v>3405055.3549999991</v>
      </c>
      <c r="M14" s="13">
        <v>2469136.9383333325</v>
      </c>
      <c r="N14" s="179">
        <v>43831</v>
      </c>
      <c r="O14" s="16">
        <v>45292</v>
      </c>
      <c r="P14" s="13">
        <v>845597.22</v>
      </c>
      <c r="Q14" s="222" t="e">
        <v>#VALUE!</v>
      </c>
    </row>
    <row r="15" spans="1:17" x14ac:dyDescent="0.2">
      <c r="A15" s="4" t="s">
        <v>32</v>
      </c>
      <c r="B15" s="13">
        <v>1141786689.4400001</v>
      </c>
      <c r="C15" s="13">
        <v>1046232274.58</v>
      </c>
      <c r="D15" s="13">
        <v>95554414.860000014</v>
      </c>
      <c r="E15" s="13">
        <v>19090864.329999998</v>
      </c>
      <c r="F15" s="13">
        <v>26492151</v>
      </c>
      <c r="G15" s="14">
        <v>3.61</v>
      </c>
      <c r="H15" s="14">
        <v>0.72</v>
      </c>
      <c r="I15" s="13">
        <v>1590905.3608333331</v>
      </c>
      <c r="J15" s="15">
        <v>0</v>
      </c>
      <c r="K15" s="13">
        <v>95554414.860000014</v>
      </c>
      <c r="L15" s="13" t="s">
        <v>20</v>
      </c>
      <c r="M15" s="13" t="s">
        <v>20</v>
      </c>
      <c r="N15" s="179">
        <v>43647</v>
      </c>
      <c r="O15" s="16">
        <v>45108</v>
      </c>
      <c r="P15" s="13">
        <v>2610523</v>
      </c>
      <c r="Q15" s="222" t="e">
        <v>#VALUE!</v>
      </c>
    </row>
    <row r="16" spans="1:17" x14ac:dyDescent="0.2">
      <c r="A16" s="4" t="s">
        <v>33</v>
      </c>
      <c r="B16" s="13">
        <v>987264872</v>
      </c>
      <c r="C16" s="13">
        <v>903862002.38999999</v>
      </c>
      <c r="D16" s="13">
        <v>83402869.610000014</v>
      </c>
      <c r="E16" s="13">
        <v>29138878.73</v>
      </c>
      <c r="F16" s="13">
        <v>23383549</v>
      </c>
      <c r="G16" s="14">
        <v>3.57</v>
      </c>
      <c r="H16" s="14">
        <v>1.25</v>
      </c>
      <c r="I16" s="13">
        <v>2428239.8941666665</v>
      </c>
      <c r="J16" s="15">
        <v>9</v>
      </c>
      <c r="K16" s="13">
        <v>61548710.562500015</v>
      </c>
      <c r="L16" s="13">
        <v>4070641.2900000014</v>
      </c>
      <c r="M16" s="13">
        <v>2771555.2344444459</v>
      </c>
      <c r="N16" s="179">
        <v>43922</v>
      </c>
      <c r="O16" s="16">
        <v>45383</v>
      </c>
      <c r="P16" s="13">
        <v>2121962.63</v>
      </c>
      <c r="Q16" s="222" t="e">
        <v>#VALUE!</v>
      </c>
    </row>
    <row r="17" spans="1:17" x14ac:dyDescent="0.2">
      <c r="A17" s="4" t="s">
        <v>34</v>
      </c>
      <c r="B17" s="13">
        <v>1408362784.9100001</v>
      </c>
      <c r="C17" s="13">
        <v>1297773061.0999999</v>
      </c>
      <c r="D17" s="13">
        <v>110589723.81000018</v>
      </c>
      <c r="E17" s="13">
        <v>33491560.609999999</v>
      </c>
      <c r="F17" s="13">
        <v>31050303</v>
      </c>
      <c r="G17" s="14">
        <v>3.56</v>
      </c>
      <c r="H17" s="14">
        <v>1.08</v>
      </c>
      <c r="I17" s="13">
        <v>2790963.3841666668</v>
      </c>
      <c r="J17" s="15">
        <v>0</v>
      </c>
      <c r="K17" s="13">
        <v>110589723.81000018</v>
      </c>
      <c r="L17" s="13" t="s">
        <v>20</v>
      </c>
      <c r="M17" s="13" t="s">
        <v>20</v>
      </c>
      <c r="N17" s="179">
        <v>43647</v>
      </c>
      <c r="O17" s="16">
        <v>45108</v>
      </c>
      <c r="P17" s="13">
        <v>2035346.43</v>
      </c>
      <c r="Q17" s="222" t="e">
        <v>#VALUE!</v>
      </c>
    </row>
    <row r="18" spans="1:17" x14ac:dyDescent="0.2">
      <c r="A18" s="4" t="s">
        <v>35</v>
      </c>
      <c r="B18" s="13">
        <v>775111638</v>
      </c>
      <c r="C18" s="13">
        <v>708175155.01999998</v>
      </c>
      <c r="D18" s="13">
        <v>66936482.980000019</v>
      </c>
      <c r="E18" s="13">
        <v>14076138.189999999</v>
      </c>
      <c r="F18" s="13">
        <v>18806749</v>
      </c>
      <c r="G18" s="14">
        <v>3.56</v>
      </c>
      <c r="H18" s="14">
        <v>0.75</v>
      </c>
      <c r="I18" s="13">
        <v>1173011.5158333334</v>
      </c>
      <c r="J18" s="15">
        <v>0</v>
      </c>
      <c r="K18" s="13">
        <v>66936482.980000019</v>
      </c>
      <c r="L18" s="13" t="s">
        <v>20</v>
      </c>
      <c r="M18" s="13" t="s">
        <v>20</v>
      </c>
      <c r="N18" s="179">
        <v>43647</v>
      </c>
      <c r="O18" s="16">
        <v>45108</v>
      </c>
      <c r="P18" s="13">
        <v>1160050.72</v>
      </c>
      <c r="Q18" s="222" t="e">
        <v>#VALUE!</v>
      </c>
    </row>
    <row r="19" spans="1:17" x14ac:dyDescent="0.2">
      <c r="A19" s="4" t="s">
        <v>36</v>
      </c>
      <c r="B19" s="13">
        <v>383394888</v>
      </c>
      <c r="C19" s="13">
        <v>351332826.44999999</v>
      </c>
      <c r="D19" s="13">
        <v>32062061.550000012</v>
      </c>
      <c r="E19" s="13">
        <v>7057722.8700000001</v>
      </c>
      <c r="F19" s="13">
        <v>9345978</v>
      </c>
      <c r="G19" s="14">
        <v>3.43</v>
      </c>
      <c r="H19" s="14">
        <v>0.76</v>
      </c>
      <c r="I19" s="13">
        <v>588143.57250000001</v>
      </c>
      <c r="J19" s="15">
        <v>9</v>
      </c>
      <c r="K19" s="13">
        <v>26768769.397500012</v>
      </c>
      <c r="L19" s="13">
        <v>1485567.2833333346</v>
      </c>
      <c r="M19" s="13">
        <v>966346.28333333461</v>
      </c>
      <c r="N19" s="179">
        <v>43556</v>
      </c>
      <c r="O19" s="16">
        <v>45383</v>
      </c>
      <c r="P19" s="13">
        <v>1855793.39</v>
      </c>
      <c r="Q19" s="222" t="e">
        <v>#VALUE!</v>
      </c>
    </row>
    <row r="20" spans="1:17" x14ac:dyDescent="0.2">
      <c r="A20" s="4" t="s">
        <v>37</v>
      </c>
      <c r="B20" s="13">
        <v>183964974</v>
      </c>
      <c r="C20" s="13">
        <v>170983749.49000001</v>
      </c>
      <c r="D20" s="13">
        <v>12981224.50999999</v>
      </c>
      <c r="E20" s="13">
        <v>2048828.28</v>
      </c>
      <c r="F20" s="13">
        <v>3849554</v>
      </c>
      <c r="G20" s="14">
        <v>3.37</v>
      </c>
      <c r="H20" s="14">
        <v>0.53</v>
      </c>
      <c r="I20" s="13">
        <v>170735.69</v>
      </c>
      <c r="J20" s="15">
        <v>0</v>
      </c>
      <c r="K20" s="13">
        <v>12981224.50999999</v>
      </c>
      <c r="L20" s="13" t="s">
        <v>20</v>
      </c>
      <c r="M20" s="13" t="s">
        <v>20</v>
      </c>
      <c r="N20" s="179">
        <v>43647</v>
      </c>
      <c r="O20" s="16">
        <v>45108</v>
      </c>
      <c r="P20" s="13">
        <v>642477.63</v>
      </c>
      <c r="Q20" s="222" t="e">
        <v>#VALUE!</v>
      </c>
    </row>
    <row r="21" spans="1:17" x14ac:dyDescent="0.2">
      <c r="A21" s="4" t="s">
        <v>38</v>
      </c>
      <c r="B21" s="13">
        <v>514448817.88</v>
      </c>
      <c r="C21" s="13">
        <v>468480597.60000002</v>
      </c>
      <c r="D21" s="13">
        <v>45968220.279999971</v>
      </c>
      <c r="E21" s="13">
        <v>9948829.6500000004</v>
      </c>
      <c r="F21" s="13">
        <v>13912108</v>
      </c>
      <c r="G21" s="14">
        <v>3.3</v>
      </c>
      <c r="H21" s="14">
        <v>0.72</v>
      </c>
      <c r="I21" s="13">
        <v>829069.13750000007</v>
      </c>
      <c r="J21" s="15">
        <v>0</v>
      </c>
      <c r="K21" s="13">
        <v>45968220.279999971</v>
      </c>
      <c r="L21" s="13" t="s">
        <v>20</v>
      </c>
      <c r="M21" s="13" t="s">
        <v>20</v>
      </c>
      <c r="N21" s="179">
        <v>43647</v>
      </c>
      <c r="O21" s="16">
        <v>45108</v>
      </c>
      <c r="P21" s="13">
        <v>0</v>
      </c>
      <c r="Q21" s="222" t="e">
        <v>#VALUE!</v>
      </c>
    </row>
    <row r="22" spans="1:17" x14ac:dyDescent="0.2">
      <c r="A22" s="4" t="s">
        <v>39</v>
      </c>
      <c r="B22" s="13">
        <v>490026128.91000003</v>
      </c>
      <c r="C22" s="13">
        <v>455905421.83999997</v>
      </c>
      <c r="D22" s="13">
        <v>34120707.070000052</v>
      </c>
      <c r="E22" s="13">
        <v>11323764.1</v>
      </c>
      <c r="F22" s="13">
        <v>10665728</v>
      </c>
      <c r="G22" s="14">
        <v>3.2</v>
      </c>
      <c r="H22" s="14">
        <v>1.06</v>
      </c>
      <c r="I22" s="13">
        <v>943647.0083333333</v>
      </c>
      <c r="J22" s="15">
        <v>0</v>
      </c>
      <c r="K22" s="13">
        <v>34120707.070000052</v>
      </c>
      <c r="L22" s="13" t="s">
        <v>20</v>
      </c>
      <c r="M22" s="13" t="s">
        <v>20</v>
      </c>
      <c r="N22" s="179">
        <v>43647</v>
      </c>
      <c r="O22" s="16">
        <v>45108</v>
      </c>
      <c r="P22" s="13">
        <v>807755.84</v>
      </c>
      <c r="Q22" s="222" t="e">
        <v>#VALUE!</v>
      </c>
    </row>
    <row r="23" spans="1:17" x14ac:dyDescent="0.2">
      <c r="A23" s="4" t="s">
        <v>40</v>
      </c>
      <c r="B23" s="13">
        <v>192099724.25999999</v>
      </c>
      <c r="C23" s="13">
        <v>174868021.28999999</v>
      </c>
      <c r="D23" s="13">
        <v>17231702.969999999</v>
      </c>
      <c r="E23" s="13">
        <v>3959156.45</v>
      </c>
      <c r="F23" s="13">
        <v>5427145</v>
      </c>
      <c r="G23" s="14">
        <v>3.18</v>
      </c>
      <c r="H23" s="14">
        <v>0.73</v>
      </c>
      <c r="I23" s="13">
        <v>329929.70416666666</v>
      </c>
      <c r="J23" s="15">
        <v>0</v>
      </c>
      <c r="K23" s="13">
        <v>17231702.969999999</v>
      </c>
      <c r="L23" s="13" t="s">
        <v>20</v>
      </c>
      <c r="M23" s="13" t="s">
        <v>20</v>
      </c>
      <c r="N23" s="179">
        <v>43647</v>
      </c>
      <c r="O23" s="16">
        <v>45108</v>
      </c>
      <c r="P23" s="13">
        <v>946803.96</v>
      </c>
      <c r="Q23" s="222" t="e">
        <v>#VALUE!</v>
      </c>
    </row>
    <row r="24" spans="1:17" x14ac:dyDescent="0.2">
      <c r="A24" s="4" t="s">
        <v>41</v>
      </c>
      <c r="B24" s="13">
        <v>1181321553.53</v>
      </c>
      <c r="C24" s="13">
        <v>1034737496.12</v>
      </c>
      <c r="D24" s="13">
        <v>146584057.40999997</v>
      </c>
      <c r="E24" s="13">
        <v>58947178.060000002</v>
      </c>
      <c r="F24" s="13">
        <v>47769843</v>
      </c>
      <c r="G24" s="14">
        <v>3.07</v>
      </c>
      <c r="H24" s="14">
        <v>1.23</v>
      </c>
      <c r="I24" s="13">
        <v>4912264.8383333338</v>
      </c>
      <c r="J24" s="15">
        <v>6</v>
      </c>
      <c r="K24" s="13">
        <v>117110468.37999997</v>
      </c>
      <c r="L24" s="13">
        <v>8507395.2349999938</v>
      </c>
      <c r="M24" s="13" t="s">
        <v>42</v>
      </c>
      <c r="N24" s="179">
        <v>43831</v>
      </c>
      <c r="O24" s="16">
        <v>45292</v>
      </c>
      <c r="P24" s="13">
        <v>3919496.2</v>
      </c>
      <c r="Q24" s="222" t="e">
        <v>#VALUE!</v>
      </c>
    </row>
    <row r="25" spans="1:17" x14ac:dyDescent="0.2">
      <c r="A25" s="4" t="s">
        <v>43</v>
      </c>
      <c r="B25" s="13">
        <v>248558577</v>
      </c>
      <c r="C25" s="13">
        <v>231093383.47999999</v>
      </c>
      <c r="D25" s="13">
        <v>17465193.520000011</v>
      </c>
      <c r="E25" s="13">
        <v>7169180.0999999996</v>
      </c>
      <c r="F25" s="13">
        <v>5790145</v>
      </c>
      <c r="G25" s="14">
        <v>3.02</v>
      </c>
      <c r="H25" s="14">
        <v>1.24</v>
      </c>
      <c r="I25" s="13">
        <v>597431.67499999993</v>
      </c>
      <c r="J25" s="15">
        <v>6</v>
      </c>
      <c r="K25" s="13">
        <v>13880603.47000001</v>
      </c>
      <c r="L25" s="13">
        <v>980817.25333333516</v>
      </c>
      <c r="M25" s="13" t="s">
        <v>42</v>
      </c>
      <c r="N25" s="179">
        <v>43831</v>
      </c>
      <c r="O25" s="16">
        <v>45292</v>
      </c>
      <c r="P25" s="13">
        <v>325761.42</v>
      </c>
      <c r="Q25" s="222" t="e">
        <v>#VALUE!</v>
      </c>
    </row>
    <row r="26" spans="1:17" x14ac:dyDescent="0.2">
      <c r="A26" s="4" t="s">
        <v>44</v>
      </c>
      <c r="B26" s="13">
        <v>287073942.33999997</v>
      </c>
      <c r="C26" s="13">
        <v>266907992.25</v>
      </c>
      <c r="D26" s="13">
        <v>20165950.089999974</v>
      </c>
      <c r="E26" s="13">
        <v>5031428.3600000003</v>
      </c>
      <c r="F26" s="13">
        <v>6707393</v>
      </c>
      <c r="G26" s="14">
        <v>3.01</v>
      </c>
      <c r="H26" s="14">
        <v>0.75</v>
      </c>
      <c r="I26" s="13">
        <v>419285.69666666671</v>
      </c>
      <c r="J26" s="15">
        <v>0</v>
      </c>
      <c r="K26" s="13">
        <v>20165950.089999974</v>
      </c>
      <c r="L26" s="13" t="s">
        <v>20</v>
      </c>
      <c r="M26" s="13" t="s">
        <v>20</v>
      </c>
      <c r="N26" s="179">
        <v>43647</v>
      </c>
      <c r="O26" s="16">
        <v>45108</v>
      </c>
      <c r="P26" s="13">
        <v>0</v>
      </c>
      <c r="Q26" s="222" t="e">
        <v>#VALUE!</v>
      </c>
    </row>
    <row r="27" spans="1:17" x14ac:dyDescent="0.2">
      <c r="A27" s="4" t="s">
        <v>45</v>
      </c>
      <c r="B27" s="13">
        <v>1960284894.29</v>
      </c>
      <c r="C27" s="13">
        <v>1837879473.05</v>
      </c>
      <c r="D27" s="13">
        <v>122405421.24000001</v>
      </c>
      <c r="E27" s="13">
        <v>41854145.100000001</v>
      </c>
      <c r="F27" s="13">
        <v>41120349</v>
      </c>
      <c r="G27" s="14">
        <v>2.98</v>
      </c>
      <c r="H27" s="14">
        <v>1.02</v>
      </c>
      <c r="I27" s="13">
        <v>3487845.4250000003</v>
      </c>
      <c r="J27" s="15">
        <v>6</v>
      </c>
      <c r="K27" s="13">
        <v>101478348.69000001</v>
      </c>
      <c r="L27" s="13">
        <v>6694120.5400000019</v>
      </c>
      <c r="M27" s="13" t="s">
        <v>42</v>
      </c>
      <c r="N27" s="179">
        <v>43831</v>
      </c>
      <c r="O27" s="16">
        <v>45292</v>
      </c>
      <c r="P27" s="13">
        <v>2466492.33</v>
      </c>
      <c r="Q27" s="222" t="e">
        <v>#VALUE!</v>
      </c>
    </row>
    <row r="28" spans="1:17" x14ac:dyDescent="0.2">
      <c r="A28" s="4" t="s">
        <v>46</v>
      </c>
      <c r="B28" s="13">
        <v>306076596.48000002</v>
      </c>
      <c r="C28" s="13">
        <v>281922820.55000001</v>
      </c>
      <c r="D28" s="13">
        <v>24153775.930000007</v>
      </c>
      <c r="E28" s="13">
        <v>6924728.4500000002</v>
      </c>
      <c r="F28" s="13">
        <v>8165077</v>
      </c>
      <c r="G28" s="14">
        <v>2.96</v>
      </c>
      <c r="H28" s="14">
        <v>0.85</v>
      </c>
      <c r="I28" s="13">
        <v>577060.70416666672</v>
      </c>
      <c r="J28" s="15">
        <v>0</v>
      </c>
      <c r="K28" s="13">
        <v>24153775.930000007</v>
      </c>
      <c r="L28" s="13" t="s">
        <v>20</v>
      </c>
      <c r="M28" s="13" t="s">
        <v>20</v>
      </c>
      <c r="N28" s="179">
        <v>43647</v>
      </c>
      <c r="O28" s="16">
        <v>45108</v>
      </c>
      <c r="P28" s="13">
        <v>1332546.25</v>
      </c>
      <c r="Q28" s="222" t="e">
        <v>#VALUE!</v>
      </c>
    </row>
    <row r="29" spans="1:17" x14ac:dyDescent="0.2">
      <c r="A29" s="4" t="s">
        <v>47</v>
      </c>
      <c r="B29" s="13">
        <v>101716763</v>
      </c>
      <c r="C29" s="13">
        <v>93785683.579999998</v>
      </c>
      <c r="D29" s="13">
        <v>7931079.4200000018</v>
      </c>
      <c r="E29" s="13">
        <v>1975069.88</v>
      </c>
      <c r="F29" s="13">
        <v>2699725</v>
      </c>
      <c r="G29" s="14">
        <v>2.94</v>
      </c>
      <c r="H29" s="14">
        <v>0.73</v>
      </c>
      <c r="I29" s="13">
        <v>164589.15666666665</v>
      </c>
      <c r="J29" s="15">
        <v>0</v>
      </c>
      <c r="K29" s="13">
        <v>7931079.4200000018</v>
      </c>
      <c r="L29" s="13" t="s">
        <v>20</v>
      </c>
      <c r="M29" s="13" t="s">
        <v>20</v>
      </c>
      <c r="N29" s="179">
        <v>43647</v>
      </c>
      <c r="O29" s="16">
        <v>45108</v>
      </c>
      <c r="P29" s="13">
        <v>72551.97</v>
      </c>
      <c r="Q29" s="222" t="e">
        <v>#VALUE!</v>
      </c>
    </row>
    <row r="30" spans="1:17" x14ac:dyDescent="0.2">
      <c r="A30" s="4" t="s">
        <v>48</v>
      </c>
      <c r="B30" s="13">
        <v>533753437.31</v>
      </c>
      <c r="C30" s="13">
        <v>500768909.48000002</v>
      </c>
      <c r="D30" s="13">
        <v>32984527.829999983</v>
      </c>
      <c r="E30" s="13">
        <v>15492422.17</v>
      </c>
      <c r="F30" s="13">
        <v>11499421</v>
      </c>
      <c r="G30" s="14">
        <v>2.87</v>
      </c>
      <c r="H30" s="14">
        <v>1.35</v>
      </c>
      <c r="I30" s="13">
        <v>1291035.1808333334</v>
      </c>
      <c r="J30" s="15">
        <v>6</v>
      </c>
      <c r="K30" s="13">
        <v>25238316.744999982</v>
      </c>
      <c r="L30" s="13">
        <v>1664280.9716666639</v>
      </c>
      <c r="M30" s="13" t="s">
        <v>42</v>
      </c>
      <c r="N30" s="179">
        <v>43831</v>
      </c>
      <c r="O30" s="16">
        <v>45292</v>
      </c>
      <c r="P30" s="13">
        <v>542312</v>
      </c>
      <c r="Q30" s="222" t="e">
        <v>#VALUE!</v>
      </c>
    </row>
    <row r="31" spans="1:17" x14ac:dyDescent="0.2">
      <c r="A31" s="4" t="s">
        <v>49</v>
      </c>
      <c r="B31" s="13">
        <v>1215383392.1700001</v>
      </c>
      <c r="C31" s="13">
        <v>1148154607.0699999</v>
      </c>
      <c r="D31" s="13">
        <v>67228785.100000143</v>
      </c>
      <c r="E31" s="13">
        <v>17108296.23</v>
      </c>
      <c r="F31" s="13">
        <v>24335266</v>
      </c>
      <c r="G31" s="14">
        <v>2.76</v>
      </c>
      <c r="H31" s="14">
        <v>0.7</v>
      </c>
      <c r="I31" s="13">
        <v>1425691.3525</v>
      </c>
      <c r="J31" s="15">
        <v>0</v>
      </c>
      <c r="K31" s="13">
        <v>67228785.100000143</v>
      </c>
      <c r="L31" s="13" t="s">
        <v>20</v>
      </c>
      <c r="M31" s="13" t="s">
        <v>20</v>
      </c>
      <c r="N31" s="179">
        <v>43647</v>
      </c>
      <c r="O31" s="16">
        <v>45108</v>
      </c>
      <c r="P31" s="13">
        <v>1010755.72</v>
      </c>
      <c r="Q31" s="222" t="e">
        <v>#VALUE!</v>
      </c>
    </row>
    <row r="32" spans="1:17" x14ac:dyDescent="0.2">
      <c r="A32" s="4" t="s">
        <v>50</v>
      </c>
      <c r="B32" s="13">
        <v>1601312682.0699999</v>
      </c>
      <c r="C32" s="13">
        <v>1487761222.9400001</v>
      </c>
      <c r="D32" s="13">
        <v>113551459.12999988</v>
      </c>
      <c r="E32" s="13">
        <v>40560853.770000003</v>
      </c>
      <c r="F32" s="13">
        <v>41389514</v>
      </c>
      <c r="G32" s="14">
        <v>2.74</v>
      </c>
      <c r="H32" s="14">
        <v>0.98</v>
      </c>
      <c r="I32" s="13">
        <v>3380071.1475000004</v>
      </c>
      <c r="J32" s="15">
        <v>0</v>
      </c>
      <c r="K32" s="13">
        <v>113551459.12999988</v>
      </c>
      <c r="L32" s="13" t="s">
        <v>20</v>
      </c>
      <c r="M32" s="13" t="s">
        <v>20</v>
      </c>
      <c r="N32" s="179">
        <v>43647</v>
      </c>
      <c r="O32" s="16">
        <v>45108</v>
      </c>
      <c r="P32" s="13">
        <v>3399982.99</v>
      </c>
      <c r="Q32" s="222" t="e">
        <v>#VALUE!</v>
      </c>
    </row>
    <row r="33" spans="1:17" x14ac:dyDescent="0.2">
      <c r="A33" s="4" t="s">
        <v>51</v>
      </c>
      <c r="B33" s="13">
        <v>1035563531</v>
      </c>
      <c r="C33" s="13">
        <v>969551526.64999998</v>
      </c>
      <c r="D33" s="13">
        <v>66012004.350000024</v>
      </c>
      <c r="E33" s="13">
        <v>21485960.07</v>
      </c>
      <c r="F33" s="13">
        <v>24645105</v>
      </c>
      <c r="G33" s="14">
        <v>2.68</v>
      </c>
      <c r="H33" s="14">
        <v>0.87</v>
      </c>
      <c r="I33" s="13">
        <v>1790496.6725000001</v>
      </c>
      <c r="J33" s="15">
        <v>6</v>
      </c>
      <c r="K33" s="13">
        <v>55269024.315000027</v>
      </c>
      <c r="L33" s="13">
        <v>2786965.7250000038</v>
      </c>
      <c r="M33" s="13" t="s">
        <v>42</v>
      </c>
      <c r="N33" s="179">
        <v>43831</v>
      </c>
      <c r="O33" s="16">
        <v>45292</v>
      </c>
      <c r="P33" s="13">
        <v>939162.5</v>
      </c>
      <c r="Q33" s="222" t="e">
        <v>#VALUE!</v>
      </c>
    </row>
    <row r="34" spans="1:17" x14ac:dyDescent="0.2">
      <c r="A34" s="4" t="s">
        <v>52</v>
      </c>
      <c r="B34" s="13">
        <v>508943489</v>
      </c>
      <c r="C34" s="13">
        <v>475077482.48000002</v>
      </c>
      <c r="D34" s="13">
        <v>33866006.519999981</v>
      </c>
      <c r="E34" s="13">
        <v>10093950.789999999</v>
      </c>
      <c r="F34" s="13">
        <v>12834399</v>
      </c>
      <c r="G34" s="14">
        <v>2.64</v>
      </c>
      <c r="H34" s="14">
        <v>0.79</v>
      </c>
      <c r="I34" s="13">
        <v>841162.5658333333</v>
      </c>
      <c r="J34" s="15">
        <v>0</v>
      </c>
      <c r="K34" s="13">
        <v>33866006.519999981</v>
      </c>
      <c r="L34" s="13" t="s">
        <v>20</v>
      </c>
      <c r="M34" s="13" t="s">
        <v>20</v>
      </c>
      <c r="N34" s="179">
        <v>43647</v>
      </c>
      <c r="O34" s="16">
        <v>45108</v>
      </c>
      <c r="P34" s="13">
        <v>1028697.38</v>
      </c>
      <c r="Q34" s="222" t="e">
        <v>#VALUE!</v>
      </c>
    </row>
    <row r="35" spans="1:17" x14ac:dyDescent="0.2">
      <c r="A35" s="4" t="s">
        <v>53</v>
      </c>
      <c r="B35" s="13">
        <v>2808699464.54</v>
      </c>
      <c r="C35" s="13">
        <v>2627866803.0500002</v>
      </c>
      <c r="D35" s="13">
        <v>180832661.48999977</v>
      </c>
      <c r="E35" s="13">
        <v>67368556.700000003</v>
      </c>
      <c r="F35" s="13">
        <v>68807928.950000003</v>
      </c>
      <c r="G35" s="14">
        <v>2.63</v>
      </c>
      <c r="H35" s="14">
        <v>0.98</v>
      </c>
      <c r="I35" s="13">
        <v>5614046.3916666666</v>
      </c>
      <c r="J35" s="15">
        <v>2</v>
      </c>
      <c r="K35" s="13">
        <v>169604568.70666644</v>
      </c>
      <c r="L35" s="13">
        <v>21608401.794999883</v>
      </c>
      <c r="M35" s="13" t="s">
        <v>42</v>
      </c>
      <c r="N35" s="179">
        <v>44075</v>
      </c>
      <c r="O35" s="16">
        <v>45170</v>
      </c>
      <c r="P35" s="13">
        <v>7167824.7999999998</v>
      </c>
      <c r="Q35" s="222" t="e">
        <v>#VALUE!</v>
      </c>
    </row>
    <row r="36" spans="1:17" x14ac:dyDescent="0.2">
      <c r="A36" s="4" t="s">
        <v>54</v>
      </c>
      <c r="B36" s="13">
        <v>1359513127.99</v>
      </c>
      <c r="C36" s="13">
        <v>1274185881.7</v>
      </c>
      <c r="D36" s="13">
        <v>85327246.289999962</v>
      </c>
      <c r="E36" s="13">
        <v>28102138.579999998</v>
      </c>
      <c r="F36" s="13">
        <v>33898476</v>
      </c>
      <c r="G36" s="14">
        <v>2.52</v>
      </c>
      <c r="H36" s="14">
        <v>0.83</v>
      </c>
      <c r="I36" s="13">
        <v>2341844.8816666664</v>
      </c>
      <c r="J36" s="15">
        <v>9</v>
      </c>
      <c r="K36" s="13">
        <v>64250642.354999959</v>
      </c>
      <c r="L36" s="13" t="s">
        <v>42</v>
      </c>
      <c r="M36" s="13" t="s">
        <v>42</v>
      </c>
      <c r="N36" s="179">
        <v>43922</v>
      </c>
      <c r="O36" s="16">
        <v>45383</v>
      </c>
      <c r="P36" s="13">
        <v>2249790.34</v>
      </c>
      <c r="Q36" s="222" t="e">
        <v>#VALUE!</v>
      </c>
    </row>
    <row r="37" spans="1:17" x14ac:dyDescent="0.2">
      <c r="A37" s="4" t="s">
        <v>55</v>
      </c>
      <c r="B37" s="13">
        <v>660266370</v>
      </c>
      <c r="C37" s="13">
        <v>624024509.70000005</v>
      </c>
      <c r="D37" s="13">
        <v>36241860.299999952</v>
      </c>
      <c r="E37" s="13">
        <v>13970318.630000001</v>
      </c>
      <c r="F37" s="13">
        <v>14821600</v>
      </c>
      <c r="G37" s="14">
        <v>2.4500000000000002</v>
      </c>
      <c r="H37" s="14">
        <v>0.94</v>
      </c>
      <c r="I37" s="13">
        <v>1164193.2191666667</v>
      </c>
      <c r="J37" s="15">
        <v>6</v>
      </c>
      <c r="K37" s="13">
        <v>29256700.984999951</v>
      </c>
      <c r="L37" s="13" t="s">
        <v>42</v>
      </c>
      <c r="M37" s="13" t="s">
        <v>42</v>
      </c>
      <c r="N37" s="179">
        <v>43466</v>
      </c>
      <c r="O37" s="16">
        <v>45292</v>
      </c>
      <c r="P37" s="13">
        <v>863467.22</v>
      </c>
      <c r="Q37" s="222" t="e">
        <v>#VALUE!</v>
      </c>
    </row>
    <row r="38" spans="1:17" x14ac:dyDescent="0.2">
      <c r="A38" s="4" t="s">
        <v>56</v>
      </c>
      <c r="B38" s="13">
        <v>1127333975</v>
      </c>
      <c r="C38" s="13">
        <v>1059302811.11</v>
      </c>
      <c r="D38" s="13">
        <v>68031163.889999986</v>
      </c>
      <c r="E38" s="13">
        <v>28094379.109999999</v>
      </c>
      <c r="F38" s="13">
        <v>28091254</v>
      </c>
      <c r="G38" s="14">
        <v>2.42</v>
      </c>
      <c r="H38" s="14">
        <v>1</v>
      </c>
      <c r="I38" s="13">
        <v>2341198.2591666668</v>
      </c>
      <c r="J38" s="15">
        <v>0</v>
      </c>
      <c r="K38" s="13">
        <v>68031163.889999986</v>
      </c>
      <c r="L38" s="13" t="s">
        <v>20</v>
      </c>
      <c r="M38" s="13" t="s">
        <v>42</v>
      </c>
      <c r="N38" s="179">
        <v>43647</v>
      </c>
      <c r="O38" s="16">
        <v>45108</v>
      </c>
      <c r="P38" s="13">
        <v>2845601.57</v>
      </c>
      <c r="Q38" s="222" t="e">
        <v>#VALUE!</v>
      </c>
    </row>
    <row r="39" spans="1:17" x14ac:dyDescent="0.2">
      <c r="A39" s="4" t="s">
        <v>57</v>
      </c>
      <c r="B39" s="13">
        <v>95802497</v>
      </c>
      <c r="C39" s="13">
        <v>88930974.109999999</v>
      </c>
      <c r="D39" s="13">
        <v>6871522.8900000006</v>
      </c>
      <c r="E39" s="13">
        <v>4177100.98</v>
      </c>
      <c r="F39" s="13">
        <v>2895399</v>
      </c>
      <c r="G39" s="14">
        <v>2.37</v>
      </c>
      <c r="H39" s="14">
        <v>1.44</v>
      </c>
      <c r="I39" s="13">
        <v>348091.74833333335</v>
      </c>
      <c r="J39" s="15">
        <v>0</v>
      </c>
      <c r="K39" s="13">
        <v>6871522.8900000006</v>
      </c>
      <c r="L39" s="13" t="s">
        <v>20</v>
      </c>
      <c r="M39" s="13" t="s">
        <v>42</v>
      </c>
      <c r="N39" s="179">
        <v>43647</v>
      </c>
      <c r="O39" s="16">
        <v>45108</v>
      </c>
      <c r="P39" s="13">
        <v>1209576.99</v>
      </c>
      <c r="Q39" s="222" t="e">
        <v>#VALUE!</v>
      </c>
    </row>
    <row r="40" spans="1:17" x14ac:dyDescent="0.2">
      <c r="A40" s="4" t="s">
        <v>58</v>
      </c>
      <c r="B40" s="13">
        <v>1182616448</v>
      </c>
      <c r="C40" s="13">
        <v>1129022316.3800001</v>
      </c>
      <c r="D40" s="13">
        <v>53594131.619999886</v>
      </c>
      <c r="E40" s="13">
        <v>23620764.920000002</v>
      </c>
      <c r="F40" s="13">
        <v>22759065</v>
      </c>
      <c r="G40" s="14">
        <v>2.35</v>
      </c>
      <c r="H40" s="14">
        <v>1.04</v>
      </c>
      <c r="I40" s="13">
        <v>1968397.0766666669</v>
      </c>
      <c r="J40" s="15">
        <v>9</v>
      </c>
      <c r="K40" s="13">
        <v>35878557.929999888</v>
      </c>
      <c r="L40" s="13" t="s">
        <v>42</v>
      </c>
      <c r="M40" s="13" t="s">
        <v>42</v>
      </c>
      <c r="N40" s="179">
        <v>43922</v>
      </c>
      <c r="O40" s="16">
        <v>45383</v>
      </c>
      <c r="P40" s="13">
        <v>1847460.55</v>
      </c>
      <c r="Q40" s="222" t="e">
        <v>#VALUE!</v>
      </c>
    </row>
    <row r="41" spans="1:17" x14ac:dyDescent="0.2">
      <c r="A41" s="4" t="s">
        <v>59</v>
      </c>
      <c r="B41" s="13">
        <v>270139589</v>
      </c>
      <c r="C41" s="13">
        <v>252973368.47999999</v>
      </c>
      <c r="D41" s="13">
        <v>17166220.520000011</v>
      </c>
      <c r="E41" s="13">
        <v>7272420.7999999998</v>
      </c>
      <c r="F41" s="13">
        <v>7334647</v>
      </c>
      <c r="G41" s="14">
        <v>2.34</v>
      </c>
      <c r="H41" s="14">
        <v>0.99</v>
      </c>
      <c r="I41" s="13">
        <v>606035.06666666665</v>
      </c>
      <c r="J41" s="15">
        <v>0</v>
      </c>
      <c r="K41" s="13">
        <v>17166220.520000011</v>
      </c>
      <c r="L41" s="13" t="s">
        <v>20</v>
      </c>
      <c r="M41" s="13" t="s">
        <v>42</v>
      </c>
      <c r="N41" s="179">
        <v>43647</v>
      </c>
      <c r="O41" s="16">
        <v>45108</v>
      </c>
      <c r="P41" s="13">
        <v>704436</v>
      </c>
      <c r="Q41" s="222" t="e">
        <v>#VALUE!</v>
      </c>
    </row>
    <row r="42" spans="1:17" x14ac:dyDescent="0.2">
      <c r="A42" s="4" t="s">
        <v>60</v>
      </c>
      <c r="B42" s="13">
        <v>334651630.45999998</v>
      </c>
      <c r="C42" s="13">
        <v>316387145.38</v>
      </c>
      <c r="D42" s="13">
        <v>18264485.079999983</v>
      </c>
      <c r="E42" s="13">
        <v>7611318.9000000004</v>
      </c>
      <c r="F42" s="13">
        <v>7944686</v>
      </c>
      <c r="G42" s="14">
        <v>2.2999999999999998</v>
      </c>
      <c r="H42" s="14">
        <v>0.96</v>
      </c>
      <c r="I42" s="13">
        <v>634276.57500000007</v>
      </c>
      <c r="J42" s="15">
        <v>9</v>
      </c>
      <c r="K42" s="13">
        <v>12555995.904999983</v>
      </c>
      <c r="L42" s="13" t="s">
        <v>42</v>
      </c>
      <c r="M42" s="13" t="s">
        <v>42</v>
      </c>
      <c r="N42" s="179">
        <v>43556</v>
      </c>
      <c r="O42" s="16">
        <v>45383</v>
      </c>
      <c r="P42" s="13">
        <v>1061613.03</v>
      </c>
      <c r="Q42" s="222" t="e">
        <v>#VALUE!</v>
      </c>
    </row>
    <row r="43" spans="1:17" x14ac:dyDescent="0.2">
      <c r="A43" s="4" t="s">
        <v>61</v>
      </c>
      <c r="B43" s="13">
        <v>1062416247.5</v>
      </c>
      <c r="C43" s="13">
        <v>1010379257.11</v>
      </c>
      <c r="D43" s="13">
        <v>52036990.389999986</v>
      </c>
      <c r="E43" s="13">
        <v>26594267.66</v>
      </c>
      <c r="F43" s="13">
        <v>23271036</v>
      </c>
      <c r="G43" s="14">
        <v>2.2400000000000002</v>
      </c>
      <c r="H43" s="14">
        <v>1.1399999999999999</v>
      </c>
      <c r="I43" s="13">
        <v>2216188.9716666667</v>
      </c>
      <c r="J43" s="15">
        <v>9</v>
      </c>
      <c r="K43" s="13">
        <v>32091289.644999985</v>
      </c>
      <c r="L43" s="13" t="s">
        <v>42</v>
      </c>
      <c r="M43" s="13" t="s">
        <v>42</v>
      </c>
      <c r="N43" s="179">
        <v>43556</v>
      </c>
      <c r="O43" s="16">
        <v>45383</v>
      </c>
      <c r="P43" s="13">
        <v>2395228.7799999998</v>
      </c>
      <c r="Q43" s="222" t="e">
        <v>#VALUE!</v>
      </c>
    </row>
    <row r="44" spans="1:17" x14ac:dyDescent="0.2">
      <c r="A44" s="4" t="s">
        <v>62</v>
      </c>
      <c r="B44" s="13">
        <v>671425386.73000002</v>
      </c>
      <c r="C44" s="13">
        <v>640576781.55999994</v>
      </c>
      <c r="D44" s="13">
        <v>30848605.170000076</v>
      </c>
      <c r="E44" s="13">
        <v>13361742.17</v>
      </c>
      <c r="F44" s="13">
        <v>14136687</v>
      </c>
      <c r="G44" s="14">
        <v>2.1800000000000002</v>
      </c>
      <c r="H44" s="14">
        <v>0.95</v>
      </c>
      <c r="I44" s="13">
        <v>1113478.5141666667</v>
      </c>
      <c r="J44" s="15">
        <v>9</v>
      </c>
      <c r="K44" s="13">
        <v>20827298.542500079</v>
      </c>
      <c r="L44" s="13" t="s">
        <v>42</v>
      </c>
      <c r="M44" s="13" t="s">
        <v>42</v>
      </c>
      <c r="N44" s="179">
        <v>43922</v>
      </c>
      <c r="O44" s="16">
        <v>45383</v>
      </c>
      <c r="P44" s="13">
        <v>425794.15</v>
      </c>
      <c r="Q44" s="222" t="e">
        <v>#VALUE!</v>
      </c>
    </row>
    <row r="45" spans="1:17" x14ac:dyDescent="0.2">
      <c r="A45" s="4" t="s">
        <v>63</v>
      </c>
      <c r="B45" s="13">
        <v>1279000022.5599999</v>
      </c>
      <c r="C45" s="13">
        <v>1214649161.55</v>
      </c>
      <c r="D45" s="13">
        <v>64350861.00999999</v>
      </c>
      <c r="E45" s="13">
        <v>28979446.640000001</v>
      </c>
      <c r="F45" s="13">
        <v>30789752</v>
      </c>
      <c r="G45" s="14">
        <v>2.09</v>
      </c>
      <c r="H45" s="14">
        <v>0.94</v>
      </c>
      <c r="I45" s="13">
        <v>2414953.8866666667</v>
      </c>
      <c r="J45" s="15">
        <v>0</v>
      </c>
      <c r="K45" s="13">
        <v>64350861.00999999</v>
      </c>
      <c r="L45" s="13" t="s">
        <v>20</v>
      </c>
      <c r="M45" s="13" t="s">
        <v>42</v>
      </c>
      <c r="N45" s="179">
        <v>43647</v>
      </c>
      <c r="O45" s="16">
        <v>45108</v>
      </c>
      <c r="P45" s="13">
        <v>4409278.47</v>
      </c>
      <c r="Q45" s="222" t="e">
        <v>#VALUE!</v>
      </c>
    </row>
    <row r="46" spans="1:17" x14ac:dyDescent="0.2">
      <c r="A46" s="4" t="s">
        <v>64</v>
      </c>
      <c r="B46" s="13">
        <v>336705739</v>
      </c>
      <c r="C46" s="13">
        <v>317458515.38999999</v>
      </c>
      <c r="D46" s="13">
        <v>19247223.610000014</v>
      </c>
      <c r="E46" s="13">
        <v>8234397.6399999997</v>
      </c>
      <c r="F46" s="13">
        <v>9271277</v>
      </c>
      <c r="G46" s="14">
        <v>2.08</v>
      </c>
      <c r="H46" s="14">
        <v>0.89</v>
      </c>
      <c r="I46" s="13">
        <v>686199.80333333334</v>
      </c>
      <c r="J46" s="15">
        <v>6</v>
      </c>
      <c r="K46" s="13">
        <v>15130024.790000014</v>
      </c>
      <c r="L46" s="13" t="s">
        <v>42</v>
      </c>
      <c r="M46" s="13" t="s">
        <v>42</v>
      </c>
      <c r="N46" s="179">
        <v>43831</v>
      </c>
      <c r="O46" s="16">
        <v>45292</v>
      </c>
      <c r="P46" s="13">
        <v>828996.28</v>
      </c>
      <c r="Q46" s="222" t="e">
        <v>#VALUE!</v>
      </c>
    </row>
    <row r="47" spans="1:17" x14ac:dyDescent="0.2">
      <c r="A47" s="4" t="s">
        <v>65</v>
      </c>
      <c r="B47" s="13">
        <v>379033306</v>
      </c>
      <c r="C47" s="13">
        <v>359884652.51999998</v>
      </c>
      <c r="D47" s="13">
        <v>19148653.480000019</v>
      </c>
      <c r="E47" s="13">
        <v>8632867.6799999997</v>
      </c>
      <c r="F47" s="13">
        <v>9905563</v>
      </c>
      <c r="G47" s="14">
        <v>1.93</v>
      </c>
      <c r="H47" s="14">
        <v>0.87</v>
      </c>
      <c r="I47" s="13">
        <v>719405.64</v>
      </c>
      <c r="J47" s="15">
        <v>0</v>
      </c>
      <c r="K47" s="13">
        <v>19148653.480000019</v>
      </c>
      <c r="L47" s="13" t="s">
        <v>42</v>
      </c>
      <c r="M47" s="13" t="s">
        <v>42</v>
      </c>
      <c r="N47" s="179">
        <v>43647</v>
      </c>
      <c r="O47" s="16">
        <v>45108</v>
      </c>
      <c r="P47" s="13">
        <v>356950.44</v>
      </c>
      <c r="Q47" s="222" t="e">
        <v>#VALUE!</v>
      </c>
    </row>
    <row r="48" spans="1:17" x14ac:dyDescent="0.2">
      <c r="A48" s="4" t="s">
        <v>66</v>
      </c>
      <c r="B48" s="13">
        <v>1894934846.98</v>
      </c>
      <c r="C48" s="13">
        <v>1809862119.21</v>
      </c>
      <c r="D48" s="13">
        <v>85072727.769999981</v>
      </c>
      <c r="E48" s="13">
        <v>47062935.770000003</v>
      </c>
      <c r="F48" s="13">
        <v>45251402</v>
      </c>
      <c r="G48" s="14">
        <v>1.88</v>
      </c>
      <c r="H48" s="14">
        <v>1.04</v>
      </c>
      <c r="I48" s="13">
        <v>3921911.3141666669</v>
      </c>
      <c r="J48" s="15">
        <v>0</v>
      </c>
      <c r="K48" s="13">
        <v>85072727.769999981</v>
      </c>
      <c r="L48" s="13" t="s">
        <v>42</v>
      </c>
      <c r="M48" s="13" t="s">
        <v>42</v>
      </c>
      <c r="N48" s="179">
        <v>43647</v>
      </c>
      <c r="O48" s="16">
        <v>45108</v>
      </c>
      <c r="P48" s="13">
        <v>2897390.87</v>
      </c>
      <c r="Q48" s="222" t="e">
        <v>#VALUE!</v>
      </c>
    </row>
    <row r="49" spans="1:17" x14ac:dyDescent="0.2">
      <c r="A49" s="4" t="s">
        <v>67</v>
      </c>
      <c r="B49" s="13">
        <v>1055772942</v>
      </c>
      <c r="C49" s="13">
        <v>1006007973.38</v>
      </c>
      <c r="D49" s="13">
        <v>49764968.620000005</v>
      </c>
      <c r="E49" s="13">
        <v>28283123.73</v>
      </c>
      <c r="F49" s="13">
        <v>27135328</v>
      </c>
      <c r="G49" s="14">
        <v>1.83</v>
      </c>
      <c r="H49" s="14">
        <v>1.04</v>
      </c>
      <c r="I49" s="13">
        <v>2356926.9775</v>
      </c>
      <c r="J49" s="15">
        <v>9</v>
      </c>
      <c r="K49" s="13">
        <v>28552625.822500005</v>
      </c>
      <c r="L49" s="13" t="s">
        <v>42</v>
      </c>
      <c r="M49" s="13" t="s">
        <v>42</v>
      </c>
      <c r="N49" s="179">
        <v>43922</v>
      </c>
      <c r="O49" s="16">
        <v>45383</v>
      </c>
      <c r="P49" s="13">
        <v>1061087.94</v>
      </c>
      <c r="Q49" s="222" t="e">
        <v>#VALUE!</v>
      </c>
    </row>
    <row r="50" spans="1:17" x14ac:dyDescent="0.2">
      <c r="A50" s="4" t="s">
        <v>68</v>
      </c>
      <c r="B50" s="13">
        <v>485437344</v>
      </c>
      <c r="C50" s="13">
        <v>464489725.74000001</v>
      </c>
      <c r="D50" s="13">
        <v>20947618.25999999</v>
      </c>
      <c r="E50" s="13">
        <v>10942272.289999999</v>
      </c>
      <c r="F50" s="13">
        <v>11760505</v>
      </c>
      <c r="G50" s="14">
        <v>1.78</v>
      </c>
      <c r="H50" s="14">
        <v>0.93</v>
      </c>
      <c r="I50" s="13">
        <v>911856.02416666655</v>
      </c>
      <c r="J50" s="15">
        <v>6</v>
      </c>
      <c r="K50" s="13">
        <v>15476482.114999991</v>
      </c>
      <c r="L50" s="13" t="s">
        <v>42</v>
      </c>
      <c r="M50" s="13" t="s">
        <v>42</v>
      </c>
      <c r="N50" s="179">
        <v>43831</v>
      </c>
      <c r="O50" s="16">
        <v>45292</v>
      </c>
      <c r="P50" s="13">
        <v>889090.76</v>
      </c>
      <c r="Q50" s="222" t="e">
        <v>#VALUE!</v>
      </c>
    </row>
    <row r="51" spans="1:17" x14ac:dyDescent="0.2">
      <c r="A51" s="4" t="s">
        <v>69</v>
      </c>
      <c r="B51" s="13">
        <v>232702025</v>
      </c>
      <c r="C51" s="13">
        <v>224027582.13</v>
      </c>
      <c r="D51" s="13">
        <v>8674442.8700000048</v>
      </c>
      <c r="E51" s="13">
        <v>5434905.0099999998</v>
      </c>
      <c r="F51" s="13">
        <v>6807147</v>
      </c>
      <c r="G51" s="14">
        <v>1.27</v>
      </c>
      <c r="H51" s="14">
        <v>0.8</v>
      </c>
      <c r="I51" s="13">
        <v>452908.7508333333</v>
      </c>
      <c r="J51" s="15">
        <v>0</v>
      </c>
      <c r="K51" s="13">
        <v>8674442.8700000048</v>
      </c>
      <c r="L51" s="13" t="s">
        <v>42</v>
      </c>
      <c r="M51" s="13" t="s">
        <v>42</v>
      </c>
      <c r="N51" s="179">
        <v>43647</v>
      </c>
      <c r="O51" s="16">
        <v>45108</v>
      </c>
      <c r="P51" s="13">
        <v>0</v>
      </c>
      <c r="Q51" s="222" t="e">
        <v>#VALUE!</v>
      </c>
    </row>
    <row r="52" spans="1:17" x14ac:dyDescent="0.2">
      <c r="A52" s="4" t="s">
        <v>70</v>
      </c>
      <c r="B52" s="13">
        <v>72717998</v>
      </c>
      <c r="C52" s="13">
        <v>70007158.170000002</v>
      </c>
      <c r="D52" s="18">
        <v>2710839.8299999982</v>
      </c>
      <c r="E52" s="13">
        <v>2027820.49</v>
      </c>
      <c r="F52" s="13">
        <v>2684959</v>
      </c>
      <c r="G52" s="14">
        <v>1.01</v>
      </c>
      <c r="H52" s="14">
        <v>0.76</v>
      </c>
      <c r="I52" s="18">
        <v>168985.04083333333</v>
      </c>
      <c r="J52" s="15">
        <v>0</v>
      </c>
      <c r="K52" s="18">
        <v>2710839.8299999982</v>
      </c>
      <c r="L52" s="18" t="s">
        <v>42</v>
      </c>
      <c r="M52" s="18" t="s">
        <v>42</v>
      </c>
      <c r="N52" s="180">
        <v>43647</v>
      </c>
      <c r="O52" s="16">
        <v>45108</v>
      </c>
      <c r="P52" s="13">
        <v>35776.699999999997</v>
      </c>
      <c r="Q52" s="222" t="e">
        <v>#VALUE!</v>
      </c>
    </row>
    <row r="53" spans="1:17" x14ac:dyDescent="0.25">
      <c r="A53" s="34" t="s">
        <v>71</v>
      </c>
      <c r="B53" s="31">
        <v>42063217302.959999</v>
      </c>
      <c r="C53" s="13">
        <v>38963274121.760002</v>
      </c>
      <c r="D53" s="31">
        <v>3099943181.1999969</v>
      </c>
      <c r="E53" s="13">
        <v>904345672.71000004</v>
      </c>
      <c r="F53" s="13">
        <v>987593470.95000005</v>
      </c>
      <c r="G53" s="14">
        <v>3.14</v>
      </c>
      <c r="H53" s="14">
        <v>0.92</v>
      </c>
      <c r="I53" s="31">
        <v>75362139.392499998</v>
      </c>
      <c r="J53" s="32"/>
      <c r="K53" s="33"/>
      <c r="L53" s="33"/>
      <c r="M53" s="33"/>
      <c r="N53" s="33"/>
      <c r="O53" s="33"/>
      <c r="P53" s="31">
        <v>78276504.200000003</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34</v>
      </c>
      <c r="H56" s="25"/>
    </row>
    <row r="57" spans="1:17" ht="27" customHeight="1" thickBot="1" x14ac:dyDescent="0.3">
      <c r="D57" s="228" t="s">
        <v>73</v>
      </c>
      <c r="E57" s="229"/>
      <c r="F57" s="229"/>
      <c r="G57" s="27"/>
      <c r="H57" s="28">
        <v>35</v>
      </c>
    </row>
  </sheetData>
  <mergeCells count="2">
    <mergeCell ref="D56:F56"/>
    <mergeCell ref="D57:F57"/>
  </mergeCells>
  <conditionalFormatting sqref="G54">
    <cfRule type="cellIs" dxfId="419" priority="13" stopIfTrue="1" operator="greaterThan">
      <formula>2.5</formula>
    </cfRule>
    <cfRule type="cellIs" dxfId="418" priority="14" stopIfTrue="1" operator="between">
      <formula>2.01</formula>
      <formula>2.5</formula>
    </cfRule>
  </conditionalFormatting>
  <conditionalFormatting sqref="H3:H53">
    <cfRule type="cellIs" dxfId="417" priority="12" stopIfTrue="1" operator="lessThan">
      <formula>1</formula>
    </cfRule>
  </conditionalFormatting>
  <conditionalFormatting sqref="G3:G53">
    <cfRule type="cellIs" dxfId="416" priority="10" stopIfTrue="1" operator="greaterThan">
      <formula>2.5</formula>
    </cfRule>
    <cfRule type="cellIs" dxfId="415" priority="11" stopIfTrue="1" operator="between">
      <formula>2.01</formula>
      <formula>2.5</formula>
    </cfRule>
  </conditionalFormatting>
  <conditionalFormatting sqref="K3:K52">
    <cfRule type="cellIs" dxfId="414" priority="8" stopIfTrue="1" operator="greaterThan">
      <formula>$F3*2.5</formula>
    </cfRule>
    <cfRule type="cellIs" dxfId="413" priority="9" stopIfTrue="1" operator="between">
      <formula>$F3*2</formula>
      <formula>$F3*2.5</formula>
    </cfRule>
  </conditionalFormatting>
  <conditionalFormatting sqref="G54">
    <cfRule type="cellIs" dxfId="412" priority="6" stopIfTrue="1" operator="greaterThan">
      <formula>2.5</formula>
    </cfRule>
    <cfRule type="cellIs" dxfId="411" priority="7" stopIfTrue="1" operator="between">
      <formula>2.01</formula>
      <formula>2.5</formula>
    </cfRule>
  </conditionalFormatting>
  <conditionalFormatting sqref="H3:H53">
    <cfRule type="cellIs" dxfId="410" priority="5" stopIfTrue="1" operator="lessThan">
      <formula>1</formula>
    </cfRule>
  </conditionalFormatting>
  <conditionalFormatting sqref="G3:G53">
    <cfRule type="cellIs" dxfId="409" priority="3" stopIfTrue="1" operator="greaterThan">
      <formula>2.5</formula>
    </cfRule>
    <cfRule type="cellIs" dxfId="408" priority="4" stopIfTrue="1" operator="between">
      <formula>2.01</formula>
      <formula>2.5</formula>
    </cfRule>
  </conditionalFormatting>
  <conditionalFormatting sqref="K3:K52">
    <cfRule type="cellIs" dxfId="407" priority="1" stopIfTrue="1" operator="greaterThan">
      <formula>$F3*2.5</formula>
    </cfRule>
    <cfRule type="cellIs" dxfId="406"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1A35-E0D1-46B8-9B30-E6E9DE2E96C7}">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90</v>
      </c>
      <c r="B1" s="178" t="s">
        <v>91</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983943222.49000001</v>
      </c>
      <c r="D3" s="13">
        <v>156032714.96000004</v>
      </c>
      <c r="E3" s="13">
        <v>12550787.960000001</v>
      </c>
      <c r="F3" s="13">
        <v>24778539</v>
      </c>
      <c r="G3" s="14">
        <v>6.3</v>
      </c>
      <c r="H3" s="14">
        <v>0.51</v>
      </c>
      <c r="I3" s="13">
        <v>1045898.9966666667</v>
      </c>
      <c r="J3" s="15">
        <v>3</v>
      </c>
      <c r="K3" s="13">
        <v>152895017.97000003</v>
      </c>
      <c r="L3" s="13">
        <v>35491878.986666679</v>
      </c>
      <c r="M3" s="13">
        <v>31362122.486666679</v>
      </c>
      <c r="N3" s="179">
        <v>43647</v>
      </c>
      <c r="O3" s="16">
        <v>45474</v>
      </c>
      <c r="P3" s="13">
        <v>908378.79</v>
      </c>
      <c r="Q3" s="223" t="e">
        <v>#VALUE!</v>
      </c>
    </row>
    <row r="4" spans="1:17" x14ac:dyDescent="0.2">
      <c r="A4" s="4" t="s">
        <v>21</v>
      </c>
      <c r="B4" s="13">
        <v>1788595890.3599999</v>
      </c>
      <c r="C4" s="13">
        <v>1533991306.8</v>
      </c>
      <c r="D4" s="13">
        <v>254604583.55999994</v>
      </c>
      <c r="E4" s="13">
        <v>36177711.850000001</v>
      </c>
      <c r="F4" s="13">
        <v>46272979</v>
      </c>
      <c r="G4" s="14">
        <v>5.5</v>
      </c>
      <c r="H4" s="14">
        <v>0.78</v>
      </c>
      <c r="I4" s="13">
        <v>3014809.3208333333</v>
      </c>
      <c r="J4" s="15">
        <v>9</v>
      </c>
      <c r="K4" s="13">
        <v>227471299.67249995</v>
      </c>
      <c r="L4" s="13">
        <v>18006513.951111104</v>
      </c>
      <c r="M4" s="13">
        <v>15435792.895555548</v>
      </c>
      <c r="N4" s="179">
        <v>43831</v>
      </c>
      <c r="O4" s="16">
        <v>45658</v>
      </c>
      <c r="P4" s="13">
        <v>4312173.63</v>
      </c>
      <c r="Q4" s="222" t="e">
        <v>#VALUE!</v>
      </c>
    </row>
    <row r="5" spans="1:17" x14ac:dyDescent="0.2">
      <c r="A5" s="4" t="s">
        <v>22</v>
      </c>
      <c r="B5" s="13">
        <v>708696383.32000005</v>
      </c>
      <c r="C5" s="13">
        <v>632634127.89999998</v>
      </c>
      <c r="D5" s="13">
        <v>76062255.420000076</v>
      </c>
      <c r="E5" s="13">
        <v>12776851.34</v>
      </c>
      <c r="F5" s="13">
        <v>13833071</v>
      </c>
      <c r="G5" s="14">
        <v>5.5</v>
      </c>
      <c r="H5" s="14">
        <v>0.92</v>
      </c>
      <c r="I5" s="13">
        <v>1064737.6116666666</v>
      </c>
      <c r="J5" s="15">
        <v>3</v>
      </c>
      <c r="K5" s="13">
        <v>72868042.585000083</v>
      </c>
      <c r="L5" s="13">
        <v>16132037.806666693</v>
      </c>
      <c r="M5" s="13">
        <v>13826525.973333359</v>
      </c>
      <c r="N5" s="179">
        <v>43647</v>
      </c>
      <c r="O5" s="16">
        <v>45474</v>
      </c>
      <c r="P5" s="13">
        <v>1319619.79</v>
      </c>
      <c r="Q5" s="222" t="e">
        <v>#VALUE!</v>
      </c>
    </row>
    <row r="6" spans="1:17" x14ac:dyDescent="0.2">
      <c r="A6" s="4" t="s">
        <v>24</v>
      </c>
      <c r="B6" s="13">
        <v>1469242870.97</v>
      </c>
      <c r="C6" s="13">
        <v>1294983755.0999999</v>
      </c>
      <c r="D6" s="13">
        <v>174259115.87000012</v>
      </c>
      <c r="E6" s="13">
        <v>22897367.93</v>
      </c>
      <c r="F6" s="13">
        <v>33073641</v>
      </c>
      <c r="G6" s="14">
        <v>5.27</v>
      </c>
      <c r="H6" s="14">
        <v>0.69</v>
      </c>
      <c r="I6" s="13">
        <v>1908113.9941666666</v>
      </c>
      <c r="J6" s="15">
        <v>3</v>
      </c>
      <c r="K6" s="13">
        <v>168534773.88750014</v>
      </c>
      <c r="L6" s="13">
        <v>36037277.956666708</v>
      </c>
      <c r="M6" s="13">
        <v>30525004.456666708</v>
      </c>
      <c r="N6" s="179">
        <v>43647</v>
      </c>
      <c r="O6" s="16">
        <v>45474</v>
      </c>
      <c r="P6" s="13">
        <v>1530712.14</v>
      </c>
      <c r="Q6" s="222" t="e">
        <v>#VALUE!</v>
      </c>
    </row>
    <row r="7" spans="1:17" x14ac:dyDescent="0.2">
      <c r="A7" s="4" t="s">
        <v>23</v>
      </c>
      <c r="B7" s="13">
        <v>1336273473.74</v>
      </c>
      <c r="C7" s="13">
        <v>1186649196.1700001</v>
      </c>
      <c r="D7" s="13">
        <v>149624277.56999993</v>
      </c>
      <c r="E7" s="13">
        <v>17653909.379999999</v>
      </c>
      <c r="F7" s="13">
        <v>29074134</v>
      </c>
      <c r="G7" s="14">
        <v>5.15</v>
      </c>
      <c r="H7" s="14">
        <v>0.61</v>
      </c>
      <c r="I7" s="13">
        <v>1471159.115</v>
      </c>
      <c r="J7" s="15">
        <v>9</v>
      </c>
      <c r="K7" s="13">
        <v>136383845.53499994</v>
      </c>
      <c r="L7" s="13">
        <v>10164001.063333325</v>
      </c>
      <c r="M7" s="13">
        <v>8548771.396666659</v>
      </c>
      <c r="N7" s="179">
        <v>43831</v>
      </c>
      <c r="O7" s="16">
        <v>45658</v>
      </c>
      <c r="P7" s="13">
        <v>2367929.25</v>
      </c>
      <c r="Q7" s="222" t="e">
        <v>#VALUE!</v>
      </c>
    </row>
    <row r="8" spans="1:17" x14ac:dyDescent="0.2">
      <c r="A8" s="4" t="s">
        <v>26</v>
      </c>
      <c r="B8" s="13">
        <v>120899760.39</v>
      </c>
      <c r="C8" s="13">
        <v>104394870.11</v>
      </c>
      <c r="D8" s="13">
        <v>16504890.280000001</v>
      </c>
      <c r="E8" s="13">
        <v>1734856.32</v>
      </c>
      <c r="F8" s="13">
        <v>3521015</v>
      </c>
      <c r="G8" s="14">
        <v>4.6900000000000004</v>
      </c>
      <c r="H8" s="14">
        <v>0.49</v>
      </c>
      <c r="I8" s="13">
        <v>144571.36000000002</v>
      </c>
      <c r="J8" s="15">
        <v>9</v>
      </c>
      <c r="K8" s="13">
        <v>15203748.040000001</v>
      </c>
      <c r="L8" s="13">
        <v>1051428.9200000002</v>
      </c>
      <c r="M8" s="13">
        <v>855816.97555555566</v>
      </c>
      <c r="N8" s="179">
        <v>43831</v>
      </c>
      <c r="O8" s="16">
        <v>45658</v>
      </c>
      <c r="P8" s="13">
        <v>19146.12</v>
      </c>
      <c r="Q8" s="222" t="e">
        <v>#VALUE!</v>
      </c>
    </row>
    <row r="9" spans="1:17" x14ac:dyDescent="0.2">
      <c r="A9" s="4" t="s">
        <v>31</v>
      </c>
      <c r="B9" s="13">
        <v>493558716</v>
      </c>
      <c r="C9" s="13">
        <v>445737803.64999998</v>
      </c>
      <c r="D9" s="13">
        <v>47820912.350000024</v>
      </c>
      <c r="E9" s="13">
        <v>7447571.5700000003</v>
      </c>
      <c r="F9" s="13">
        <v>11038481</v>
      </c>
      <c r="G9" s="14">
        <v>4.33</v>
      </c>
      <c r="H9" s="14">
        <v>0.67</v>
      </c>
      <c r="I9" s="13">
        <v>620630.96416666673</v>
      </c>
      <c r="J9" s="15">
        <v>9</v>
      </c>
      <c r="K9" s="13">
        <v>42235233.672500022</v>
      </c>
      <c r="L9" s="13">
        <v>2860438.9277777802</v>
      </c>
      <c r="M9" s="13">
        <v>2247189.9833333362</v>
      </c>
      <c r="N9" s="179">
        <v>43831</v>
      </c>
      <c r="O9" s="16">
        <v>45658</v>
      </c>
      <c r="P9" s="13">
        <v>1626994.6</v>
      </c>
      <c r="Q9" s="222" t="e">
        <v>#VALUE!</v>
      </c>
    </row>
    <row r="10" spans="1:17" x14ac:dyDescent="0.2">
      <c r="A10" s="4" t="s">
        <v>25</v>
      </c>
      <c r="B10" s="13">
        <v>265120500</v>
      </c>
      <c r="C10" s="13">
        <v>239025001.03</v>
      </c>
      <c r="D10" s="13">
        <v>26095498.969999999</v>
      </c>
      <c r="E10" s="13">
        <v>8403165.1099999994</v>
      </c>
      <c r="F10" s="13">
        <v>6172506</v>
      </c>
      <c r="G10" s="14">
        <v>4.2300000000000004</v>
      </c>
      <c r="H10" s="14">
        <v>1.36</v>
      </c>
      <c r="I10" s="13">
        <v>700263.75916666666</v>
      </c>
      <c r="J10" s="15">
        <v>0</v>
      </c>
      <c r="K10" s="13">
        <v>26095498.969999999</v>
      </c>
      <c r="L10" s="13" t="s">
        <v>20</v>
      </c>
      <c r="M10" s="13" t="s">
        <v>20</v>
      </c>
      <c r="N10" s="179">
        <v>43922</v>
      </c>
      <c r="O10" s="16">
        <v>45383</v>
      </c>
      <c r="P10" s="13">
        <v>1454144.98</v>
      </c>
      <c r="Q10" s="222" t="e">
        <v>#VALUE!</v>
      </c>
    </row>
    <row r="11" spans="1:17" x14ac:dyDescent="0.2">
      <c r="A11" s="4" t="s">
        <v>40</v>
      </c>
      <c r="B11" s="13">
        <v>203184695.25999999</v>
      </c>
      <c r="C11" s="13">
        <v>179272257.09</v>
      </c>
      <c r="D11" s="13">
        <v>23912438.169999987</v>
      </c>
      <c r="E11" s="13">
        <v>5819624.7300000004</v>
      </c>
      <c r="F11" s="13">
        <v>5655134</v>
      </c>
      <c r="G11" s="14">
        <v>4.2300000000000004</v>
      </c>
      <c r="H11" s="14">
        <v>1.03</v>
      </c>
      <c r="I11" s="13">
        <v>484968.72750000004</v>
      </c>
      <c r="J11" s="15">
        <v>3</v>
      </c>
      <c r="K11" s="13">
        <v>22457531.987499986</v>
      </c>
      <c r="L11" s="13">
        <v>4200723.3899999959</v>
      </c>
      <c r="M11" s="13">
        <v>3258201.0566666625</v>
      </c>
      <c r="N11" s="179">
        <v>43647</v>
      </c>
      <c r="O11" s="16">
        <v>45474</v>
      </c>
      <c r="P11" s="13">
        <v>3382666.73</v>
      </c>
      <c r="Q11" s="222" t="e">
        <v>#VALUE!</v>
      </c>
    </row>
    <row r="12" spans="1:17" x14ac:dyDescent="0.2">
      <c r="A12" s="4" t="s">
        <v>28</v>
      </c>
      <c r="B12" s="13">
        <v>1945106991</v>
      </c>
      <c r="C12" s="13">
        <v>1851871055.6600001</v>
      </c>
      <c r="D12" s="13">
        <v>93235935.339999914</v>
      </c>
      <c r="E12" s="13">
        <v>20297038.960000001</v>
      </c>
      <c r="F12" s="13">
        <v>22131554</v>
      </c>
      <c r="G12" s="14">
        <v>4.21</v>
      </c>
      <c r="H12" s="14">
        <v>0.92</v>
      </c>
      <c r="I12" s="13">
        <v>1691419.9133333333</v>
      </c>
      <c r="J12" s="15">
        <v>3</v>
      </c>
      <c r="K12" s="13">
        <v>88161675.59999992</v>
      </c>
      <c r="L12" s="13">
        <v>16324275.779999971</v>
      </c>
      <c r="M12" s="13">
        <v>12635683.446666637</v>
      </c>
      <c r="N12" s="179">
        <v>43647</v>
      </c>
      <c r="O12" s="16">
        <v>45474</v>
      </c>
      <c r="P12" s="13">
        <v>1094480.56</v>
      </c>
      <c r="Q12" s="222" t="e">
        <v>#VALUE!</v>
      </c>
    </row>
    <row r="13" spans="1:17" x14ac:dyDescent="0.2">
      <c r="A13" s="4" t="s">
        <v>37</v>
      </c>
      <c r="B13" s="13">
        <v>187480557</v>
      </c>
      <c r="C13" s="13">
        <v>172742473.06</v>
      </c>
      <c r="D13" s="13">
        <v>14738083.939999998</v>
      </c>
      <c r="E13" s="13">
        <v>2644509.11</v>
      </c>
      <c r="F13" s="13">
        <v>3515583</v>
      </c>
      <c r="G13" s="14">
        <v>4.1900000000000004</v>
      </c>
      <c r="H13" s="14">
        <v>0.75</v>
      </c>
      <c r="I13" s="13">
        <v>220375.75916666666</v>
      </c>
      <c r="J13" s="15">
        <v>3</v>
      </c>
      <c r="K13" s="13">
        <v>14076956.662499998</v>
      </c>
      <c r="L13" s="13">
        <v>2568972.646666666</v>
      </c>
      <c r="M13" s="13">
        <v>1983042.1466666658</v>
      </c>
      <c r="N13" s="179">
        <v>43647</v>
      </c>
      <c r="O13" s="16">
        <v>45474</v>
      </c>
      <c r="P13" s="13">
        <v>382090.83</v>
      </c>
      <c r="Q13" s="222" t="e">
        <v>#VALUE!</v>
      </c>
    </row>
    <row r="14" spans="1:17" x14ac:dyDescent="0.2">
      <c r="A14" s="4" t="s">
        <v>27</v>
      </c>
      <c r="B14" s="13">
        <v>853256279</v>
      </c>
      <c r="C14" s="13">
        <v>774755941.14999998</v>
      </c>
      <c r="D14" s="13">
        <v>78500337.850000024</v>
      </c>
      <c r="E14" s="13">
        <v>17887753.010000002</v>
      </c>
      <c r="F14" s="13">
        <v>18836467</v>
      </c>
      <c r="G14" s="14">
        <v>4.17</v>
      </c>
      <c r="H14" s="14">
        <v>0.95</v>
      </c>
      <c r="I14" s="13">
        <v>1490646.0841666667</v>
      </c>
      <c r="J14" s="15">
        <v>6</v>
      </c>
      <c r="K14" s="13">
        <v>69556461.345000029</v>
      </c>
      <c r="L14" s="13">
        <v>6804567.3083333373</v>
      </c>
      <c r="M14" s="13">
        <v>5234861.7250000043</v>
      </c>
      <c r="N14" s="179">
        <v>43739</v>
      </c>
      <c r="O14" s="16">
        <v>45566</v>
      </c>
      <c r="P14" s="13">
        <v>964962.11</v>
      </c>
      <c r="Q14" s="222" t="e">
        <v>#VALUE!</v>
      </c>
    </row>
    <row r="15" spans="1:17" x14ac:dyDescent="0.2">
      <c r="A15" s="4" t="s">
        <v>32</v>
      </c>
      <c r="B15" s="13">
        <v>1168142277.4400001</v>
      </c>
      <c r="C15" s="13">
        <v>1059918766.79</v>
      </c>
      <c r="D15" s="13">
        <v>108223510.6500001</v>
      </c>
      <c r="E15" s="13">
        <v>20407920.800000001</v>
      </c>
      <c r="F15" s="13">
        <v>26355588</v>
      </c>
      <c r="G15" s="14">
        <v>4.1100000000000003</v>
      </c>
      <c r="H15" s="14">
        <v>0.77</v>
      </c>
      <c r="I15" s="13">
        <v>1700660.0666666667</v>
      </c>
      <c r="J15" s="15">
        <v>3</v>
      </c>
      <c r="K15" s="13">
        <v>103121530.45000009</v>
      </c>
      <c r="L15" s="13">
        <v>18504111.550000031</v>
      </c>
      <c r="M15" s="13">
        <v>14111513.550000032</v>
      </c>
      <c r="N15" s="179">
        <v>43647</v>
      </c>
      <c r="O15" s="16">
        <v>45474</v>
      </c>
      <c r="P15" s="13">
        <v>970239.53</v>
      </c>
      <c r="Q15" s="222" t="e">
        <v>#VALUE!</v>
      </c>
    </row>
    <row r="16" spans="1:17" x14ac:dyDescent="0.2">
      <c r="A16" s="4" t="s">
        <v>34</v>
      </c>
      <c r="B16" s="13">
        <v>1438428739.9100001</v>
      </c>
      <c r="C16" s="13">
        <v>1317029817.3299999</v>
      </c>
      <c r="D16" s="13">
        <v>121398922.58000016</v>
      </c>
      <c r="E16" s="13">
        <v>24030535.219999999</v>
      </c>
      <c r="F16" s="13">
        <v>30065955</v>
      </c>
      <c r="G16" s="14">
        <v>4.04</v>
      </c>
      <c r="H16" s="14">
        <v>0.8</v>
      </c>
      <c r="I16" s="13">
        <v>2002544.6016666666</v>
      </c>
      <c r="J16" s="15">
        <v>3</v>
      </c>
      <c r="K16" s="13">
        <v>115391288.77500015</v>
      </c>
      <c r="L16" s="13">
        <v>20422337.526666719</v>
      </c>
      <c r="M16" s="13">
        <v>15411345.026666721</v>
      </c>
      <c r="N16" s="179">
        <v>43647</v>
      </c>
      <c r="O16" s="16">
        <v>45474</v>
      </c>
      <c r="P16" s="13">
        <v>1095234.04</v>
      </c>
      <c r="Q16" s="222" t="e">
        <v>#VALUE!</v>
      </c>
    </row>
    <row r="17" spans="1:17" x14ac:dyDescent="0.2">
      <c r="A17" s="4" t="s">
        <v>29</v>
      </c>
      <c r="B17" s="13">
        <v>800464324.92999995</v>
      </c>
      <c r="C17" s="13">
        <v>730853779.05999994</v>
      </c>
      <c r="D17" s="13">
        <v>69610545.870000005</v>
      </c>
      <c r="E17" s="13">
        <v>19414314.969999999</v>
      </c>
      <c r="F17" s="13">
        <v>17480755</v>
      </c>
      <c r="G17" s="14">
        <v>3.98</v>
      </c>
      <c r="H17" s="14">
        <v>1.1100000000000001</v>
      </c>
      <c r="I17" s="13">
        <v>1617859.5808333333</v>
      </c>
      <c r="J17" s="15">
        <v>3</v>
      </c>
      <c r="K17" s="13">
        <v>64756967.127500005</v>
      </c>
      <c r="L17" s="13">
        <v>11549678.623333335</v>
      </c>
      <c r="M17" s="13">
        <v>8636219.4566666689</v>
      </c>
      <c r="N17" s="179">
        <v>43647</v>
      </c>
      <c r="O17" s="16">
        <v>45474</v>
      </c>
      <c r="P17" s="13">
        <v>1583057.31</v>
      </c>
      <c r="Q17" s="222" t="e">
        <v>#VALUE!</v>
      </c>
    </row>
    <row r="18" spans="1:17" x14ac:dyDescent="0.2">
      <c r="A18" s="4" t="s">
        <v>35</v>
      </c>
      <c r="B18" s="13">
        <v>794219275</v>
      </c>
      <c r="C18" s="13">
        <v>719106342.25</v>
      </c>
      <c r="D18" s="13">
        <v>75112932.75</v>
      </c>
      <c r="E18" s="13">
        <v>14651672.050000001</v>
      </c>
      <c r="F18" s="13">
        <v>19107637</v>
      </c>
      <c r="G18" s="14">
        <v>3.93</v>
      </c>
      <c r="H18" s="14">
        <v>0.77</v>
      </c>
      <c r="I18" s="13">
        <v>1220972.6708333334</v>
      </c>
      <c r="J18" s="15">
        <v>3</v>
      </c>
      <c r="K18" s="13">
        <v>71450014.737499997</v>
      </c>
      <c r="L18" s="13">
        <v>12299219.583333334</v>
      </c>
      <c r="M18" s="13">
        <v>9114613.416666666</v>
      </c>
      <c r="N18" s="179">
        <v>43647</v>
      </c>
      <c r="O18" s="16">
        <v>45474</v>
      </c>
      <c r="P18" s="13">
        <v>1015766.13</v>
      </c>
      <c r="Q18" s="222" t="e">
        <v>#VALUE!</v>
      </c>
    </row>
    <row r="19" spans="1:17" x14ac:dyDescent="0.2">
      <c r="A19" s="4" t="s">
        <v>30</v>
      </c>
      <c r="B19" s="13">
        <v>1022430792.45</v>
      </c>
      <c r="C19" s="13">
        <v>945922606.23000002</v>
      </c>
      <c r="D19" s="13">
        <v>76508186.220000029</v>
      </c>
      <c r="E19" s="13">
        <v>26613520.370000001</v>
      </c>
      <c r="F19" s="13">
        <v>19809810</v>
      </c>
      <c r="G19" s="14">
        <v>3.86</v>
      </c>
      <c r="H19" s="14">
        <v>1.34</v>
      </c>
      <c r="I19" s="13">
        <v>2217793.3641666668</v>
      </c>
      <c r="J19" s="15">
        <v>0</v>
      </c>
      <c r="K19" s="13">
        <v>76508186.220000029</v>
      </c>
      <c r="L19" s="13" t="s">
        <v>20</v>
      </c>
      <c r="M19" s="13" t="s">
        <v>20</v>
      </c>
      <c r="N19" s="179">
        <v>43922</v>
      </c>
      <c r="O19" s="16">
        <v>45383</v>
      </c>
      <c r="P19" s="13">
        <v>2428104</v>
      </c>
      <c r="Q19" s="222" t="e">
        <v>#VALUE!</v>
      </c>
    </row>
    <row r="20" spans="1:17" x14ac:dyDescent="0.2">
      <c r="A20" s="4" t="s">
        <v>39</v>
      </c>
      <c r="B20" s="13">
        <v>500565228.91000003</v>
      </c>
      <c r="C20" s="13">
        <v>460634771.94999999</v>
      </c>
      <c r="D20" s="13">
        <v>39930456.960000038</v>
      </c>
      <c r="E20" s="13">
        <v>6940799.3799999999</v>
      </c>
      <c r="F20" s="13">
        <v>10539100</v>
      </c>
      <c r="G20" s="14">
        <v>3.79</v>
      </c>
      <c r="H20" s="14">
        <v>0.66</v>
      </c>
      <c r="I20" s="13">
        <v>578399.94833333336</v>
      </c>
      <c r="J20" s="15">
        <v>3</v>
      </c>
      <c r="K20" s="13">
        <v>38195257.115000039</v>
      </c>
      <c r="L20" s="13">
        <v>6284085.6533333464</v>
      </c>
      <c r="M20" s="13">
        <v>4527568.9866666794</v>
      </c>
      <c r="N20" s="179">
        <v>43647</v>
      </c>
      <c r="O20" s="16">
        <v>45474</v>
      </c>
      <c r="P20" s="13">
        <v>302995.03999999998</v>
      </c>
      <c r="Q20" s="222" t="e">
        <v>#VALUE!</v>
      </c>
    </row>
    <row r="21" spans="1:17" x14ac:dyDescent="0.2">
      <c r="A21" s="4" t="s">
        <v>44</v>
      </c>
      <c r="B21" s="13">
        <v>300551063.33999997</v>
      </c>
      <c r="C21" s="13">
        <v>275660579.75</v>
      </c>
      <c r="D21" s="13">
        <v>24890483.589999974</v>
      </c>
      <c r="E21" s="13">
        <v>9827521.8499999996</v>
      </c>
      <c r="F21" s="13">
        <v>6730317</v>
      </c>
      <c r="G21" s="14">
        <v>3.7</v>
      </c>
      <c r="H21" s="14">
        <v>1.46</v>
      </c>
      <c r="I21" s="13">
        <v>818960.15416666667</v>
      </c>
      <c r="J21" s="15">
        <v>3</v>
      </c>
      <c r="K21" s="13">
        <v>22433603.127499975</v>
      </c>
      <c r="L21" s="13">
        <v>3809949.8633333244</v>
      </c>
      <c r="M21" s="13">
        <v>2688230.3633333244</v>
      </c>
      <c r="N21" s="179">
        <v>43647</v>
      </c>
      <c r="O21" s="16">
        <v>45474</v>
      </c>
      <c r="P21" s="13">
        <v>2742712.63</v>
      </c>
      <c r="Q21" s="222" t="e">
        <v>#VALUE!</v>
      </c>
    </row>
    <row r="22" spans="1:17" x14ac:dyDescent="0.2">
      <c r="A22" s="4" t="s">
        <v>33</v>
      </c>
      <c r="B22" s="13">
        <v>1010324720</v>
      </c>
      <c r="C22" s="13">
        <v>928729056.87</v>
      </c>
      <c r="D22" s="13">
        <v>81595663.129999995</v>
      </c>
      <c r="E22" s="13">
        <v>31588884.48</v>
      </c>
      <c r="F22" s="13">
        <v>23059848</v>
      </c>
      <c r="G22" s="14">
        <v>3.54</v>
      </c>
      <c r="H22" s="14">
        <v>1.37</v>
      </c>
      <c r="I22" s="13">
        <v>2632407.04</v>
      </c>
      <c r="J22" s="15">
        <v>0</v>
      </c>
      <c r="K22" s="13">
        <v>81595663.129999995</v>
      </c>
      <c r="L22" s="13" t="s">
        <v>20</v>
      </c>
      <c r="M22" s="13" t="s">
        <v>20</v>
      </c>
      <c r="N22" s="179">
        <v>43922</v>
      </c>
      <c r="O22" s="16">
        <v>45383</v>
      </c>
      <c r="P22" s="13">
        <v>1275963.54</v>
      </c>
      <c r="Q22" s="222" t="e">
        <v>#VALUE!</v>
      </c>
    </row>
    <row r="23" spans="1:17" x14ac:dyDescent="0.2">
      <c r="A23" s="4" t="s">
        <v>47</v>
      </c>
      <c r="B23" s="13">
        <v>104394118</v>
      </c>
      <c r="C23" s="13">
        <v>95118643.200000003</v>
      </c>
      <c r="D23" s="13">
        <v>9275474.799999997</v>
      </c>
      <c r="E23" s="13">
        <v>2193623.04</v>
      </c>
      <c r="F23" s="13">
        <v>2677355</v>
      </c>
      <c r="G23" s="14">
        <v>3.46</v>
      </c>
      <c r="H23" s="14">
        <v>0.82</v>
      </c>
      <c r="I23" s="13">
        <v>182801.92000000001</v>
      </c>
      <c r="J23" s="15">
        <v>3</v>
      </c>
      <c r="K23" s="13">
        <v>8727069.0399999972</v>
      </c>
      <c r="L23" s="13">
        <v>1306921.5999999989</v>
      </c>
      <c r="M23" s="13">
        <v>860695.76666666567</v>
      </c>
      <c r="N23" s="179">
        <v>43647</v>
      </c>
      <c r="O23" s="16">
        <v>45474</v>
      </c>
      <c r="P23" s="13">
        <v>41017.410000000003</v>
      </c>
      <c r="Q23" s="222" t="e">
        <v>#VALUE!</v>
      </c>
    </row>
    <row r="24" spans="1:17" x14ac:dyDescent="0.2">
      <c r="A24" s="4" t="s">
        <v>43</v>
      </c>
      <c r="B24" s="13">
        <v>254239457</v>
      </c>
      <c r="C24" s="13">
        <v>235109849.94</v>
      </c>
      <c r="D24" s="13">
        <v>19129607.060000002</v>
      </c>
      <c r="E24" s="13">
        <v>6606225.0300000003</v>
      </c>
      <c r="F24" s="13">
        <v>5680880</v>
      </c>
      <c r="G24" s="14">
        <v>3.37</v>
      </c>
      <c r="H24" s="14">
        <v>1.1599999999999999</v>
      </c>
      <c r="I24" s="13">
        <v>550518.75250000006</v>
      </c>
      <c r="J24" s="15">
        <v>9</v>
      </c>
      <c r="K24" s="13">
        <v>14174938.287500001</v>
      </c>
      <c r="L24" s="13">
        <v>863094.11777777807</v>
      </c>
      <c r="M24" s="13" t="s">
        <v>42</v>
      </c>
      <c r="N24" s="179">
        <v>43831</v>
      </c>
      <c r="O24" s="16">
        <v>45658</v>
      </c>
      <c r="P24" s="13">
        <v>1340985.8899999999</v>
      </c>
      <c r="Q24" s="222" t="e">
        <v>#VALUE!</v>
      </c>
    </row>
    <row r="25" spans="1:17" x14ac:dyDescent="0.2">
      <c r="A25" s="4" t="s">
        <v>45</v>
      </c>
      <c r="B25" s="13">
        <v>2001064841.29</v>
      </c>
      <c r="C25" s="13">
        <v>1869951290.8800001</v>
      </c>
      <c r="D25" s="13">
        <v>131113550.40999985</v>
      </c>
      <c r="E25" s="13">
        <v>38707310.310000002</v>
      </c>
      <c r="F25" s="13">
        <v>40779947</v>
      </c>
      <c r="G25" s="14">
        <v>3.22</v>
      </c>
      <c r="H25" s="14">
        <v>0.95</v>
      </c>
      <c r="I25" s="13">
        <v>3225609.1925000004</v>
      </c>
      <c r="J25" s="15">
        <v>9</v>
      </c>
      <c r="K25" s="13">
        <v>102083067.67749985</v>
      </c>
      <c r="L25" s="13">
        <v>5505961.8233333165</v>
      </c>
      <c r="M25" s="13">
        <v>3240409.2122222055</v>
      </c>
      <c r="N25" s="179">
        <v>43831</v>
      </c>
      <c r="O25" s="16">
        <v>45658</v>
      </c>
      <c r="P25" s="13">
        <v>3472485.01</v>
      </c>
      <c r="Q25" s="222" t="e">
        <v>#VALUE!</v>
      </c>
    </row>
    <row r="26" spans="1:17" x14ac:dyDescent="0.2">
      <c r="A26" s="4" t="s">
        <v>51</v>
      </c>
      <c r="B26" s="13">
        <v>1059732308</v>
      </c>
      <c r="C26" s="13">
        <v>982523692.5</v>
      </c>
      <c r="D26" s="13">
        <v>77208615.5</v>
      </c>
      <c r="E26" s="13">
        <v>16659891.560000001</v>
      </c>
      <c r="F26" s="13">
        <v>24168777</v>
      </c>
      <c r="G26" s="14">
        <v>3.19</v>
      </c>
      <c r="H26" s="14">
        <v>0.69</v>
      </c>
      <c r="I26" s="13">
        <v>1388324.2966666666</v>
      </c>
      <c r="J26" s="15">
        <v>9</v>
      </c>
      <c r="K26" s="13">
        <v>64713696.829999998</v>
      </c>
      <c r="L26" s="13">
        <v>3207895.722222222</v>
      </c>
      <c r="M26" s="13">
        <v>1865185.888888889</v>
      </c>
      <c r="N26" s="179">
        <v>43831</v>
      </c>
      <c r="O26" s="16">
        <v>45658</v>
      </c>
      <c r="P26" s="13">
        <v>1755676</v>
      </c>
      <c r="Q26" s="222" t="e">
        <v>#VALUE!</v>
      </c>
    </row>
    <row r="27" spans="1:17" x14ac:dyDescent="0.2">
      <c r="A27" s="4" t="s">
        <v>38</v>
      </c>
      <c r="B27" s="13">
        <v>528328839.02999997</v>
      </c>
      <c r="C27" s="13">
        <v>485018360.06</v>
      </c>
      <c r="D27" s="13">
        <v>43310478.969999969</v>
      </c>
      <c r="E27" s="13">
        <v>16537762.460000001</v>
      </c>
      <c r="F27" s="13">
        <v>13880022</v>
      </c>
      <c r="G27" s="14">
        <v>3.12</v>
      </c>
      <c r="H27" s="14">
        <v>1.19</v>
      </c>
      <c r="I27" s="13">
        <v>1378146.8716666668</v>
      </c>
      <c r="J27" s="15">
        <v>3</v>
      </c>
      <c r="K27" s="13">
        <v>39176038.354999967</v>
      </c>
      <c r="L27" s="13">
        <v>5183478.323333323</v>
      </c>
      <c r="M27" s="13">
        <v>2870141.323333323</v>
      </c>
      <c r="N27" s="179">
        <v>43647</v>
      </c>
      <c r="O27" s="16">
        <v>45474</v>
      </c>
      <c r="P27" s="13">
        <v>0</v>
      </c>
      <c r="Q27" s="222" t="e">
        <v>#VALUE!</v>
      </c>
    </row>
    <row r="28" spans="1:17" x14ac:dyDescent="0.2">
      <c r="A28" s="4" t="s">
        <v>49</v>
      </c>
      <c r="B28" s="13">
        <v>1239472339.1700001</v>
      </c>
      <c r="C28" s="13">
        <v>1164582781.6300001</v>
      </c>
      <c r="D28" s="13">
        <v>74889557.539999962</v>
      </c>
      <c r="E28" s="13">
        <v>20356558.289999999</v>
      </c>
      <c r="F28" s="13">
        <v>24088947</v>
      </c>
      <c r="G28" s="14">
        <v>3.11</v>
      </c>
      <c r="H28" s="14">
        <v>0.85</v>
      </c>
      <c r="I28" s="13">
        <v>1696379.8574999999</v>
      </c>
      <c r="J28" s="15">
        <v>3</v>
      </c>
      <c r="K28" s="13">
        <v>69800417.967499956</v>
      </c>
      <c r="L28" s="13">
        <v>8903887.8466666546</v>
      </c>
      <c r="M28" s="13">
        <v>4889063.3466666536</v>
      </c>
      <c r="N28" s="179">
        <v>43647</v>
      </c>
      <c r="O28" s="16">
        <v>45474</v>
      </c>
      <c r="P28" s="13">
        <v>2130167.75</v>
      </c>
      <c r="Q28" s="222" t="e">
        <v>#VALUE!</v>
      </c>
    </row>
    <row r="29" spans="1:17" x14ac:dyDescent="0.2">
      <c r="A29" s="4" t="s">
        <v>50</v>
      </c>
      <c r="B29" s="13">
        <v>1642297566.0699999</v>
      </c>
      <c r="C29" s="13">
        <v>1515217597.5899999</v>
      </c>
      <c r="D29" s="13">
        <v>127079968.48000002</v>
      </c>
      <c r="E29" s="13">
        <v>36808059.740000002</v>
      </c>
      <c r="F29" s="13">
        <v>40984884</v>
      </c>
      <c r="G29" s="14">
        <v>3.1</v>
      </c>
      <c r="H29" s="14">
        <v>0.9</v>
      </c>
      <c r="I29" s="13">
        <v>3067338.311666667</v>
      </c>
      <c r="J29" s="15">
        <v>3</v>
      </c>
      <c r="K29" s="13">
        <v>117877953.54500002</v>
      </c>
      <c r="L29" s="13">
        <v>15036733.49333334</v>
      </c>
      <c r="M29" s="13">
        <v>8205919.4933333397</v>
      </c>
      <c r="N29" s="179">
        <v>43647</v>
      </c>
      <c r="O29" s="16">
        <v>45474</v>
      </c>
      <c r="P29" s="13">
        <v>3804379.78</v>
      </c>
      <c r="Q29" s="222" t="e">
        <v>#VALUE!</v>
      </c>
    </row>
    <row r="30" spans="1:17" x14ac:dyDescent="0.2">
      <c r="A30" s="4" t="s">
        <v>41</v>
      </c>
      <c r="B30" s="13">
        <v>1228777673.53</v>
      </c>
      <c r="C30" s="13">
        <v>1081485621.8599999</v>
      </c>
      <c r="D30" s="13">
        <v>147292051.67000008</v>
      </c>
      <c r="E30" s="13">
        <v>61678305.899999999</v>
      </c>
      <c r="F30" s="13">
        <v>47456120</v>
      </c>
      <c r="G30" s="14">
        <v>3.1</v>
      </c>
      <c r="H30" s="14">
        <v>1.3</v>
      </c>
      <c r="I30" s="13">
        <v>5139858.8250000002</v>
      </c>
      <c r="J30" s="15">
        <v>9</v>
      </c>
      <c r="K30" s="13">
        <v>101033322.24500006</v>
      </c>
      <c r="L30" s="13">
        <v>5819979.0744444532</v>
      </c>
      <c r="M30" s="13" t="s">
        <v>42</v>
      </c>
      <c r="N30" s="179">
        <v>43831</v>
      </c>
      <c r="O30" s="16">
        <v>45658</v>
      </c>
      <c r="P30" s="13">
        <v>4206304.46</v>
      </c>
      <c r="Q30" s="222" t="e">
        <v>#VALUE!</v>
      </c>
    </row>
    <row r="31" spans="1:17" x14ac:dyDescent="0.2">
      <c r="A31" s="4" t="s">
        <v>46</v>
      </c>
      <c r="B31" s="13">
        <v>314446387.48000002</v>
      </c>
      <c r="C31" s="13">
        <v>288690059.75</v>
      </c>
      <c r="D31" s="13">
        <v>25756327.730000019</v>
      </c>
      <c r="E31" s="13">
        <v>9199043.0600000005</v>
      </c>
      <c r="F31" s="13">
        <v>8369791</v>
      </c>
      <c r="G31" s="14">
        <v>3.08</v>
      </c>
      <c r="H31" s="14">
        <v>1.1000000000000001</v>
      </c>
      <c r="I31" s="13">
        <v>766586.92166666675</v>
      </c>
      <c r="J31" s="15">
        <v>3</v>
      </c>
      <c r="K31" s="13">
        <v>23456566.965000018</v>
      </c>
      <c r="L31" s="13">
        <v>3005581.9100000062</v>
      </c>
      <c r="M31" s="13">
        <v>1610616.7433333397</v>
      </c>
      <c r="N31" s="179">
        <v>43647</v>
      </c>
      <c r="O31" s="16">
        <v>45474</v>
      </c>
      <c r="P31" s="13">
        <v>2506407.77</v>
      </c>
      <c r="Q31" s="222" t="e">
        <v>#VALUE!</v>
      </c>
    </row>
    <row r="32" spans="1:17" x14ac:dyDescent="0.2">
      <c r="A32" s="4" t="s">
        <v>36</v>
      </c>
      <c r="B32" s="13">
        <v>392634217.93000001</v>
      </c>
      <c r="C32" s="13">
        <v>365455553.85000002</v>
      </c>
      <c r="D32" s="13">
        <v>27178664.079999983</v>
      </c>
      <c r="E32" s="13">
        <v>17950539.77</v>
      </c>
      <c r="F32" s="13">
        <v>9305817</v>
      </c>
      <c r="G32" s="14">
        <v>2.92</v>
      </c>
      <c r="H32" s="14">
        <v>1.93</v>
      </c>
      <c r="I32" s="13">
        <v>1495878.3141666667</v>
      </c>
      <c r="J32" s="15">
        <v>0</v>
      </c>
      <c r="K32" s="13">
        <v>27178664.079999983</v>
      </c>
      <c r="L32" s="13" t="s">
        <v>20</v>
      </c>
      <c r="M32" s="13" t="s">
        <v>20</v>
      </c>
      <c r="N32" s="179">
        <v>43556</v>
      </c>
      <c r="O32" s="16">
        <v>45383</v>
      </c>
      <c r="P32" s="13">
        <v>6103785.8600000003</v>
      </c>
      <c r="Q32" s="222" t="e">
        <v>#VALUE!</v>
      </c>
    </row>
    <row r="33" spans="1:17" x14ac:dyDescent="0.2">
      <c r="A33" s="4" t="s">
        <v>55</v>
      </c>
      <c r="B33" s="13">
        <v>675052951</v>
      </c>
      <c r="C33" s="13">
        <v>632216596.15999997</v>
      </c>
      <c r="D33" s="13">
        <v>42836354.840000033</v>
      </c>
      <c r="E33" s="13">
        <v>11654969.65</v>
      </c>
      <c r="F33" s="13">
        <v>14786581</v>
      </c>
      <c r="G33" s="14">
        <v>2.9</v>
      </c>
      <c r="H33" s="14">
        <v>0.79</v>
      </c>
      <c r="I33" s="13">
        <v>971247.47083333333</v>
      </c>
      <c r="J33" s="15">
        <v>9</v>
      </c>
      <c r="K33" s="13">
        <v>34095127.602500036</v>
      </c>
      <c r="L33" s="13">
        <v>1473688.093333337</v>
      </c>
      <c r="M33" s="13" t="s">
        <v>42</v>
      </c>
      <c r="N33" s="179">
        <v>43466</v>
      </c>
      <c r="O33" s="16">
        <v>45658</v>
      </c>
      <c r="P33" s="13">
        <v>1716899.49</v>
      </c>
      <c r="Q33" s="222" t="e">
        <v>#VALUE!</v>
      </c>
    </row>
    <row r="34" spans="1:17" x14ac:dyDescent="0.2">
      <c r="A34" s="4" t="s">
        <v>56</v>
      </c>
      <c r="B34" s="13">
        <v>1154905413</v>
      </c>
      <c r="C34" s="13">
        <v>1075781097.4200001</v>
      </c>
      <c r="D34" s="13">
        <v>79124315.579999924</v>
      </c>
      <c r="E34" s="13">
        <v>26014247.879999999</v>
      </c>
      <c r="F34" s="13">
        <v>27571438</v>
      </c>
      <c r="G34" s="14">
        <v>2.87</v>
      </c>
      <c r="H34" s="14">
        <v>0.94</v>
      </c>
      <c r="I34" s="13">
        <v>2167853.9899999998</v>
      </c>
      <c r="J34" s="15">
        <v>3</v>
      </c>
      <c r="K34" s="13">
        <v>72620753.609999925</v>
      </c>
      <c r="L34" s="13">
        <v>7993813.1933333082</v>
      </c>
      <c r="M34" s="13">
        <v>3398573.5266666412</v>
      </c>
      <c r="N34" s="179">
        <v>43647</v>
      </c>
      <c r="O34" s="16">
        <v>45474</v>
      </c>
      <c r="P34" s="13">
        <v>1430151.27</v>
      </c>
      <c r="Q34" s="222" t="e">
        <v>#VALUE!</v>
      </c>
    </row>
    <row r="35" spans="1:17" x14ac:dyDescent="0.2">
      <c r="A35" s="4" t="s">
        <v>64</v>
      </c>
      <c r="B35" s="13">
        <v>346058940</v>
      </c>
      <c r="C35" s="13">
        <v>320994797.33999997</v>
      </c>
      <c r="D35" s="13">
        <v>25064142.660000026</v>
      </c>
      <c r="E35" s="13">
        <v>5177066.07</v>
      </c>
      <c r="F35" s="13">
        <v>9353201</v>
      </c>
      <c r="G35" s="14">
        <v>2.68</v>
      </c>
      <c r="H35" s="14">
        <v>0.55000000000000004</v>
      </c>
      <c r="I35" s="13">
        <v>431422.17250000004</v>
      </c>
      <c r="J35" s="15">
        <v>9</v>
      </c>
      <c r="K35" s="13">
        <v>21181343.107500024</v>
      </c>
      <c r="L35" s="13">
        <v>706415.62888889178</v>
      </c>
      <c r="M35" s="13" t="s">
        <v>42</v>
      </c>
      <c r="N35" s="179">
        <v>43831</v>
      </c>
      <c r="O35" s="16">
        <v>45658</v>
      </c>
      <c r="P35" s="13">
        <v>404638.23</v>
      </c>
      <c r="Q35" s="222" t="e">
        <v>#VALUE!</v>
      </c>
    </row>
    <row r="36" spans="1:17" x14ac:dyDescent="0.2">
      <c r="A36" s="4" t="s">
        <v>48</v>
      </c>
      <c r="B36" s="13">
        <v>545409679.30999994</v>
      </c>
      <c r="C36" s="13">
        <v>514123238.31</v>
      </c>
      <c r="D36" s="13">
        <v>31286440.99999994</v>
      </c>
      <c r="E36" s="13">
        <v>16200465.83</v>
      </c>
      <c r="F36" s="13">
        <v>11656242</v>
      </c>
      <c r="G36" s="14">
        <v>2.68</v>
      </c>
      <c r="H36" s="14">
        <v>1.39</v>
      </c>
      <c r="I36" s="13">
        <v>1350038.8191666666</v>
      </c>
      <c r="J36" s="15">
        <v>9</v>
      </c>
      <c r="K36" s="13">
        <v>19136091.627499942</v>
      </c>
      <c r="L36" s="13" t="s">
        <v>42</v>
      </c>
      <c r="M36" s="13" t="s">
        <v>42</v>
      </c>
      <c r="N36" s="179">
        <v>43831</v>
      </c>
      <c r="O36" s="16">
        <v>45658</v>
      </c>
      <c r="P36" s="13">
        <v>1351013</v>
      </c>
      <c r="Q36" s="222" t="e">
        <v>#VALUE!</v>
      </c>
    </row>
    <row r="37" spans="1:17" x14ac:dyDescent="0.2">
      <c r="A37" s="4" t="s">
        <v>54</v>
      </c>
      <c r="B37" s="13">
        <v>1394382977.99</v>
      </c>
      <c r="C37" s="13">
        <v>1301967434.9400001</v>
      </c>
      <c r="D37" s="13">
        <v>92415543.049999952</v>
      </c>
      <c r="E37" s="13">
        <v>34514844.850000001</v>
      </c>
      <c r="F37" s="13">
        <v>34869850</v>
      </c>
      <c r="G37" s="14">
        <v>2.65</v>
      </c>
      <c r="H37" s="14">
        <v>0.99</v>
      </c>
      <c r="I37" s="13">
        <v>2876237.0708333333</v>
      </c>
      <c r="J37" s="15">
        <v>0</v>
      </c>
      <c r="K37" s="13">
        <v>92415543.049999952</v>
      </c>
      <c r="L37" s="13" t="s">
        <v>20</v>
      </c>
      <c r="M37" s="13" t="s">
        <v>20</v>
      </c>
      <c r="N37" s="179">
        <v>43922</v>
      </c>
      <c r="O37" s="16">
        <v>45383</v>
      </c>
      <c r="P37" s="13">
        <v>2379743.1</v>
      </c>
      <c r="Q37" s="222" t="e">
        <v>#VALUE!</v>
      </c>
    </row>
    <row r="38" spans="1:17" x14ac:dyDescent="0.2">
      <c r="A38" s="4" t="s">
        <v>53</v>
      </c>
      <c r="B38" s="13">
        <v>2879313105.54</v>
      </c>
      <c r="C38" s="13">
        <v>2692009497.5</v>
      </c>
      <c r="D38" s="13">
        <v>187303608.03999996</v>
      </c>
      <c r="E38" s="13">
        <v>82436698.780000001</v>
      </c>
      <c r="F38" s="13">
        <v>70613641</v>
      </c>
      <c r="G38" s="14">
        <v>2.65</v>
      </c>
      <c r="H38" s="14">
        <v>1.17</v>
      </c>
      <c r="I38" s="13">
        <v>6869724.8983333334</v>
      </c>
      <c r="J38" s="15">
        <v>5</v>
      </c>
      <c r="K38" s="13">
        <v>152954983.54833329</v>
      </c>
      <c r="L38" s="13">
        <v>9215265.2079999931</v>
      </c>
      <c r="M38" s="13" t="s">
        <v>42</v>
      </c>
      <c r="N38" s="179">
        <v>44075</v>
      </c>
      <c r="O38" s="16">
        <v>45536</v>
      </c>
      <c r="P38" s="13">
        <v>12931826.369999999</v>
      </c>
      <c r="Q38" s="222" t="e">
        <v>#VALUE!</v>
      </c>
    </row>
    <row r="39" spans="1:17" x14ac:dyDescent="0.2">
      <c r="A39" s="4" t="s">
        <v>52</v>
      </c>
      <c r="B39" s="13">
        <v>522049097</v>
      </c>
      <c r="C39" s="13">
        <v>487416521.54000002</v>
      </c>
      <c r="D39" s="13">
        <v>34632575.459999979</v>
      </c>
      <c r="E39" s="13">
        <v>15926522.33</v>
      </c>
      <c r="F39" s="13">
        <v>13105608</v>
      </c>
      <c r="G39" s="14">
        <v>2.64</v>
      </c>
      <c r="H39" s="14">
        <v>1.22</v>
      </c>
      <c r="I39" s="13">
        <v>1327210.1941666666</v>
      </c>
      <c r="J39" s="15">
        <v>3</v>
      </c>
      <c r="K39" s="13">
        <v>30650944.877499979</v>
      </c>
      <c r="L39" s="13">
        <v>2807119.8199999928</v>
      </c>
      <c r="M39" s="13" t="s">
        <v>42</v>
      </c>
      <c r="N39" s="179">
        <v>43647</v>
      </c>
      <c r="O39" s="16">
        <v>45474</v>
      </c>
      <c r="P39" s="13">
        <v>1166037.79</v>
      </c>
      <c r="Q39" s="222" t="e">
        <v>#VALUE!</v>
      </c>
    </row>
    <row r="40" spans="1:17" x14ac:dyDescent="0.2">
      <c r="A40" s="4" t="s">
        <v>59</v>
      </c>
      <c r="B40" s="13">
        <v>277600986</v>
      </c>
      <c r="C40" s="13">
        <v>257960223.59</v>
      </c>
      <c r="D40" s="13">
        <v>19640762.409999996</v>
      </c>
      <c r="E40" s="13">
        <v>7363055.5700000003</v>
      </c>
      <c r="F40" s="13">
        <v>7461397</v>
      </c>
      <c r="G40" s="14">
        <v>2.63</v>
      </c>
      <c r="H40" s="14">
        <v>0.99</v>
      </c>
      <c r="I40" s="13">
        <v>613587.96416666673</v>
      </c>
      <c r="J40" s="15">
        <v>3</v>
      </c>
      <c r="K40" s="13">
        <v>17799998.517499998</v>
      </c>
      <c r="L40" s="13">
        <v>1572656.1366666656</v>
      </c>
      <c r="M40" s="13" t="s">
        <v>42</v>
      </c>
      <c r="N40" s="179">
        <v>43647</v>
      </c>
      <c r="O40" s="16">
        <v>45474</v>
      </c>
      <c r="P40" s="13">
        <v>214684</v>
      </c>
      <c r="Q40" s="222" t="e">
        <v>#VALUE!</v>
      </c>
    </row>
    <row r="41" spans="1:17" x14ac:dyDescent="0.2">
      <c r="A41" s="4" t="s">
        <v>61</v>
      </c>
      <c r="B41" s="13">
        <v>1085275104.5</v>
      </c>
      <c r="C41" s="13">
        <v>1025404772.59</v>
      </c>
      <c r="D41" s="13">
        <v>59870331.909999967</v>
      </c>
      <c r="E41" s="13">
        <v>20740336.82</v>
      </c>
      <c r="F41" s="13">
        <v>22858857</v>
      </c>
      <c r="G41" s="14">
        <v>2.62</v>
      </c>
      <c r="H41" s="14">
        <v>0.91</v>
      </c>
      <c r="I41" s="13">
        <v>1728361.4016666666</v>
      </c>
      <c r="J41" s="15">
        <v>0</v>
      </c>
      <c r="K41" s="13">
        <v>59870331.909999967</v>
      </c>
      <c r="L41" s="13" t="s">
        <v>20</v>
      </c>
      <c r="M41" s="13" t="s">
        <v>20</v>
      </c>
      <c r="N41" s="179">
        <v>43556</v>
      </c>
      <c r="O41" s="16">
        <v>45383</v>
      </c>
      <c r="P41" s="13">
        <v>1644951.65</v>
      </c>
      <c r="Q41" s="222" t="e">
        <v>#VALUE!</v>
      </c>
    </row>
    <row r="42" spans="1:17" x14ac:dyDescent="0.2">
      <c r="A42" s="4" t="s">
        <v>63</v>
      </c>
      <c r="B42" s="13">
        <v>1309738768.5599999</v>
      </c>
      <c r="C42" s="13">
        <v>1231312563.45</v>
      </c>
      <c r="D42" s="13">
        <v>78426205.109999895</v>
      </c>
      <c r="E42" s="13">
        <v>23399842.48</v>
      </c>
      <c r="F42" s="13">
        <v>30738746</v>
      </c>
      <c r="G42" s="14">
        <v>2.5499999999999998</v>
      </c>
      <c r="H42" s="14">
        <v>0.76</v>
      </c>
      <c r="I42" s="13">
        <v>1949986.8733333333</v>
      </c>
      <c r="J42" s="15">
        <v>3</v>
      </c>
      <c r="K42" s="13">
        <v>72576244.48999989</v>
      </c>
      <c r="L42" s="13">
        <v>5649571.0366666317</v>
      </c>
      <c r="M42" s="13" t="s">
        <v>42</v>
      </c>
      <c r="N42" s="179">
        <v>43647</v>
      </c>
      <c r="O42" s="16">
        <v>45474</v>
      </c>
      <c r="P42" s="13">
        <v>1632586.7</v>
      </c>
      <c r="Q42" s="222" t="e">
        <v>#VALUE!</v>
      </c>
    </row>
    <row r="43" spans="1:17" x14ac:dyDescent="0.2">
      <c r="A43" s="4" t="s">
        <v>58</v>
      </c>
      <c r="B43" s="13">
        <v>1205115490</v>
      </c>
      <c r="C43" s="13">
        <v>1148507393.48</v>
      </c>
      <c r="D43" s="13">
        <v>56608096.519999981</v>
      </c>
      <c r="E43" s="13">
        <v>24517473.129999999</v>
      </c>
      <c r="F43" s="13">
        <v>22499042</v>
      </c>
      <c r="G43" s="14">
        <v>2.52</v>
      </c>
      <c r="H43" s="14">
        <v>1.0900000000000001</v>
      </c>
      <c r="I43" s="13">
        <v>2043122.7608333332</v>
      </c>
      <c r="J43" s="15">
        <v>0</v>
      </c>
      <c r="K43" s="13">
        <v>56608096.519999981</v>
      </c>
      <c r="L43" s="13" t="s">
        <v>20</v>
      </c>
      <c r="M43" s="13" t="s">
        <v>20</v>
      </c>
      <c r="N43" s="179">
        <v>43922</v>
      </c>
      <c r="O43" s="16">
        <v>45383</v>
      </c>
      <c r="P43" s="13">
        <v>2392165.8199999998</v>
      </c>
      <c r="Q43" s="222" t="e">
        <v>#VALUE!</v>
      </c>
    </row>
    <row r="44" spans="1:17" x14ac:dyDescent="0.2">
      <c r="A44" s="4" t="s">
        <v>60</v>
      </c>
      <c r="B44" s="13">
        <v>342887810.45999998</v>
      </c>
      <c r="C44" s="13">
        <v>322874008.08999997</v>
      </c>
      <c r="D44" s="13">
        <v>20013802.370000005</v>
      </c>
      <c r="E44" s="13">
        <v>8113067.9900000002</v>
      </c>
      <c r="F44" s="13">
        <v>8236180</v>
      </c>
      <c r="G44" s="14">
        <v>2.4300000000000002</v>
      </c>
      <c r="H44" s="14">
        <v>0.99</v>
      </c>
      <c r="I44" s="13">
        <v>676088.99916666665</v>
      </c>
      <c r="J44" s="15">
        <v>0</v>
      </c>
      <c r="K44" s="13">
        <v>20013802.370000005</v>
      </c>
      <c r="L44" s="13" t="s">
        <v>20</v>
      </c>
      <c r="M44" s="13" t="s">
        <v>42</v>
      </c>
      <c r="N44" s="179">
        <v>43556</v>
      </c>
      <c r="O44" s="16">
        <v>45383</v>
      </c>
      <c r="P44" s="13">
        <v>921327.62</v>
      </c>
      <c r="Q44" s="222" t="e">
        <v>#VALUE!</v>
      </c>
    </row>
    <row r="45" spans="1:17" x14ac:dyDescent="0.2">
      <c r="A45" s="4" t="s">
        <v>57</v>
      </c>
      <c r="B45" s="13">
        <v>98701064</v>
      </c>
      <c r="C45" s="13">
        <v>92333255.810000002</v>
      </c>
      <c r="D45" s="13">
        <v>6367808.1899999976</v>
      </c>
      <c r="E45" s="13">
        <v>4977758.3499999996</v>
      </c>
      <c r="F45" s="13">
        <v>2898567</v>
      </c>
      <c r="G45" s="14">
        <v>2.2000000000000002</v>
      </c>
      <c r="H45" s="14">
        <v>1.72</v>
      </c>
      <c r="I45" s="13">
        <v>414813.1958333333</v>
      </c>
      <c r="J45" s="15">
        <v>3</v>
      </c>
      <c r="K45" s="13">
        <v>5123368.6024999972</v>
      </c>
      <c r="L45" s="13" t="s">
        <v>42</v>
      </c>
      <c r="M45" s="13" t="s">
        <v>42</v>
      </c>
      <c r="N45" s="179">
        <v>43647</v>
      </c>
      <c r="O45" s="16">
        <v>45474</v>
      </c>
      <c r="P45" s="13">
        <v>720734.11</v>
      </c>
      <c r="Q45" s="222" t="e">
        <v>#VALUE!</v>
      </c>
    </row>
    <row r="46" spans="1:17" x14ac:dyDescent="0.2">
      <c r="A46" s="4" t="s">
        <v>62</v>
      </c>
      <c r="B46" s="13">
        <v>685388676.61000001</v>
      </c>
      <c r="C46" s="13">
        <v>654649029.35000002</v>
      </c>
      <c r="D46" s="13">
        <v>30739647.25999999</v>
      </c>
      <c r="E46" s="13">
        <v>16319320.609999999</v>
      </c>
      <c r="F46" s="13">
        <v>13963452</v>
      </c>
      <c r="G46" s="14">
        <v>2.2000000000000002</v>
      </c>
      <c r="H46" s="14">
        <v>1.17</v>
      </c>
      <c r="I46" s="13">
        <v>1359943.3841666665</v>
      </c>
      <c r="J46" s="15">
        <v>0</v>
      </c>
      <c r="K46" s="13">
        <v>30739647.25999999</v>
      </c>
      <c r="L46" s="13" t="s">
        <v>20</v>
      </c>
      <c r="M46" s="13" t="s">
        <v>42</v>
      </c>
      <c r="N46" s="179">
        <v>43922</v>
      </c>
      <c r="O46" s="16">
        <v>45383</v>
      </c>
      <c r="P46" s="13">
        <v>1503735.62</v>
      </c>
      <c r="Q46" s="222" t="e">
        <v>#VALUE!</v>
      </c>
    </row>
    <row r="47" spans="1:17" x14ac:dyDescent="0.2">
      <c r="A47" s="4" t="s">
        <v>66</v>
      </c>
      <c r="B47" s="13">
        <v>1940110596.77</v>
      </c>
      <c r="C47" s="13">
        <v>1841963685.1099999</v>
      </c>
      <c r="D47" s="13">
        <v>98146911.660000086</v>
      </c>
      <c r="E47" s="13">
        <v>40908064.100000001</v>
      </c>
      <c r="F47" s="13">
        <v>45492764</v>
      </c>
      <c r="G47" s="14">
        <v>2.16</v>
      </c>
      <c r="H47" s="14">
        <v>0.9</v>
      </c>
      <c r="I47" s="13">
        <v>3409005.3416666668</v>
      </c>
      <c r="J47" s="15">
        <v>3</v>
      </c>
      <c r="K47" s="13">
        <v>87919895.63500008</v>
      </c>
      <c r="L47" s="13" t="s">
        <v>42</v>
      </c>
      <c r="M47" s="13" t="s">
        <v>42</v>
      </c>
      <c r="N47" s="179">
        <v>43647</v>
      </c>
      <c r="O47" s="16">
        <v>45474</v>
      </c>
      <c r="P47" s="13">
        <v>1930158.56</v>
      </c>
      <c r="Q47" s="222" t="e">
        <v>#VALUE!</v>
      </c>
    </row>
    <row r="48" spans="1:17" x14ac:dyDescent="0.2">
      <c r="A48" s="4" t="s">
        <v>65</v>
      </c>
      <c r="B48" s="13">
        <v>389160034</v>
      </c>
      <c r="C48" s="13">
        <v>367710063.31999999</v>
      </c>
      <c r="D48" s="13">
        <v>21449970.680000007</v>
      </c>
      <c r="E48" s="13">
        <v>9376774.3399999999</v>
      </c>
      <c r="F48" s="13">
        <v>10126728</v>
      </c>
      <c r="G48" s="14">
        <v>2.12</v>
      </c>
      <c r="H48" s="14">
        <v>0.93</v>
      </c>
      <c r="I48" s="13">
        <v>781397.86166666669</v>
      </c>
      <c r="J48" s="15">
        <v>3</v>
      </c>
      <c r="K48" s="13">
        <v>19105777.095000006</v>
      </c>
      <c r="L48" s="13" t="s">
        <v>42</v>
      </c>
      <c r="M48" s="13" t="s">
        <v>42</v>
      </c>
      <c r="N48" s="179">
        <v>43647</v>
      </c>
      <c r="O48" s="16">
        <v>45474</v>
      </c>
      <c r="P48" s="13">
        <v>446666.52</v>
      </c>
      <c r="Q48" s="222" t="e">
        <v>#VALUE!</v>
      </c>
    </row>
    <row r="49" spans="1:17" x14ac:dyDescent="0.2">
      <c r="A49" s="4" t="s">
        <v>68</v>
      </c>
      <c r="B49" s="13">
        <v>497245980</v>
      </c>
      <c r="C49" s="13">
        <v>474081450.24000001</v>
      </c>
      <c r="D49" s="13">
        <v>23164529.75999999</v>
      </c>
      <c r="E49" s="13">
        <v>13281730.109999999</v>
      </c>
      <c r="F49" s="13">
        <v>11808636</v>
      </c>
      <c r="G49" s="14">
        <v>1.96</v>
      </c>
      <c r="H49" s="14">
        <v>1.1200000000000001</v>
      </c>
      <c r="I49" s="13">
        <v>1106810.8425</v>
      </c>
      <c r="J49" s="15">
        <v>9</v>
      </c>
      <c r="K49" s="13">
        <v>13203232.177499991</v>
      </c>
      <c r="L49" s="13" t="s">
        <v>42</v>
      </c>
      <c r="M49" s="13" t="s">
        <v>42</v>
      </c>
      <c r="N49" s="179">
        <v>43831</v>
      </c>
      <c r="O49" s="16">
        <v>45658</v>
      </c>
      <c r="P49" s="13">
        <v>2437592.98</v>
      </c>
      <c r="Q49" s="222" t="e">
        <v>#VALUE!</v>
      </c>
    </row>
    <row r="50" spans="1:17" x14ac:dyDescent="0.2">
      <c r="A50" s="4" t="s">
        <v>67</v>
      </c>
      <c r="B50" s="13">
        <v>1082941284</v>
      </c>
      <c r="C50" s="13">
        <v>1030125407.9</v>
      </c>
      <c r="D50" s="13">
        <v>52815876.100000024</v>
      </c>
      <c r="E50" s="13">
        <v>29691192.27</v>
      </c>
      <c r="F50" s="13">
        <v>27168342</v>
      </c>
      <c r="G50" s="14">
        <v>1.94</v>
      </c>
      <c r="H50" s="14">
        <v>1.0900000000000001</v>
      </c>
      <c r="I50" s="13">
        <v>2474266.0225</v>
      </c>
      <c r="J50" s="15">
        <v>0</v>
      </c>
      <c r="K50" s="13">
        <v>52815876.100000024</v>
      </c>
      <c r="L50" s="13" t="s">
        <v>42</v>
      </c>
      <c r="M50" s="13" t="s">
        <v>42</v>
      </c>
      <c r="N50" s="179">
        <v>43922</v>
      </c>
      <c r="O50" s="16">
        <v>45383</v>
      </c>
      <c r="P50" s="13">
        <v>5285618.42</v>
      </c>
      <c r="Q50" s="222" t="e">
        <v>#VALUE!</v>
      </c>
    </row>
    <row r="51" spans="1:17" x14ac:dyDescent="0.2">
      <c r="A51" s="4" t="s">
        <v>69</v>
      </c>
      <c r="B51" s="13">
        <v>238203233</v>
      </c>
      <c r="C51" s="13">
        <v>228126077.03</v>
      </c>
      <c r="D51" s="13">
        <v>10077155.969999999</v>
      </c>
      <c r="E51" s="13">
        <v>4844119.24</v>
      </c>
      <c r="F51" s="13">
        <v>5501208</v>
      </c>
      <c r="G51" s="14">
        <v>1.83</v>
      </c>
      <c r="H51" s="14">
        <v>0.88</v>
      </c>
      <c r="I51" s="13">
        <v>403676.60333333333</v>
      </c>
      <c r="J51" s="15">
        <v>3</v>
      </c>
      <c r="K51" s="13">
        <v>8866126.1599999983</v>
      </c>
      <c r="L51" s="13" t="s">
        <v>42</v>
      </c>
      <c r="M51" s="13" t="s">
        <v>42</v>
      </c>
      <c r="N51" s="179">
        <v>43647</v>
      </c>
      <c r="O51" s="16">
        <v>45474</v>
      </c>
      <c r="P51" s="13">
        <v>148356.92000000001</v>
      </c>
      <c r="Q51" s="222" t="e">
        <v>#VALUE!</v>
      </c>
    </row>
    <row r="52" spans="1:17" x14ac:dyDescent="0.2">
      <c r="A52" s="4" t="s">
        <v>70</v>
      </c>
      <c r="B52" s="13">
        <v>75470621</v>
      </c>
      <c r="C52" s="13">
        <v>71751985.959999993</v>
      </c>
      <c r="D52" s="18">
        <v>3718635.0400000066</v>
      </c>
      <c r="E52" s="13">
        <v>2691886.39</v>
      </c>
      <c r="F52" s="13">
        <v>2752623</v>
      </c>
      <c r="G52" s="14">
        <v>1.35</v>
      </c>
      <c r="H52" s="14">
        <v>0.98</v>
      </c>
      <c r="I52" s="18">
        <v>224323.86583333334</v>
      </c>
      <c r="J52" s="15">
        <v>3</v>
      </c>
      <c r="K52" s="18">
        <v>3045663.4425000064</v>
      </c>
      <c r="L52" s="18" t="s">
        <v>42</v>
      </c>
      <c r="M52" s="18" t="s">
        <v>42</v>
      </c>
      <c r="N52" s="180">
        <v>43647</v>
      </c>
      <c r="O52" s="16">
        <v>45474</v>
      </c>
      <c r="P52" s="13">
        <v>249638.51</v>
      </c>
      <c r="Q52" s="222" t="e">
        <v>#VALUE!</v>
      </c>
    </row>
    <row r="53" spans="1:17" x14ac:dyDescent="0.25">
      <c r="A53" s="34" t="s">
        <v>71</v>
      </c>
      <c r="B53" s="31">
        <v>43056918036.709999</v>
      </c>
      <c r="C53" s="13">
        <v>39692319280.830002</v>
      </c>
      <c r="D53" s="31">
        <v>3364598755.8799973</v>
      </c>
      <c r="E53" s="13">
        <v>944613072.34000003</v>
      </c>
      <c r="F53" s="13">
        <v>981907757</v>
      </c>
      <c r="G53" s="14">
        <v>3.43</v>
      </c>
      <c r="H53" s="14">
        <v>0.96</v>
      </c>
      <c r="I53" s="31">
        <v>78717756.028333336</v>
      </c>
      <c r="J53" s="32"/>
      <c r="K53" s="33"/>
      <c r="L53" s="33"/>
      <c r="M53" s="33"/>
      <c r="N53" s="33"/>
      <c r="O53" s="33"/>
      <c r="P53" s="31">
        <v>97047108.360000014</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41</v>
      </c>
      <c r="H56" s="25"/>
    </row>
    <row r="57" spans="1:17" ht="27" customHeight="1" thickBot="1" x14ac:dyDescent="0.3">
      <c r="D57" s="228" t="s">
        <v>73</v>
      </c>
      <c r="E57" s="229"/>
      <c r="F57" s="229"/>
      <c r="G57" s="27"/>
      <c r="H57" s="28">
        <v>31</v>
      </c>
    </row>
  </sheetData>
  <mergeCells count="2">
    <mergeCell ref="D56:F56"/>
    <mergeCell ref="D57:F57"/>
  </mergeCells>
  <conditionalFormatting sqref="G54">
    <cfRule type="cellIs" dxfId="293" priority="13" stopIfTrue="1" operator="greaterThan">
      <formula>2.5</formula>
    </cfRule>
    <cfRule type="cellIs" dxfId="292" priority="14" stopIfTrue="1" operator="between">
      <formula>2.01</formula>
      <formula>2.5</formula>
    </cfRule>
  </conditionalFormatting>
  <conditionalFormatting sqref="H3:H53">
    <cfRule type="cellIs" dxfId="291" priority="12" stopIfTrue="1" operator="lessThan">
      <formula>1</formula>
    </cfRule>
  </conditionalFormatting>
  <conditionalFormatting sqref="G3:G53">
    <cfRule type="cellIs" dxfId="290" priority="10" stopIfTrue="1" operator="greaterThan">
      <formula>2.5</formula>
    </cfRule>
    <cfRule type="cellIs" dxfId="289" priority="11" stopIfTrue="1" operator="between">
      <formula>2.01</formula>
      <formula>2.5</formula>
    </cfRule>
  </conditionalFormatting>
  <conditionalFormatting sqref="K3:K52">
    <cfRule type="cellIs" dxfId="288" priority="8" stopIfTrue="1" operator="greaterThan">
      <formula>$F3*2.5</formula>
    </cfRule>
    <cfRule type="cellIs" dxfId="287" priority="9" stopIfTrue="1" operator="between">
      <formula>$F3*2</formula>
      <formula>$F3*2.5</formula>
    </cfRule>
  </conditionalFormatting>
  <conditionalFormatting sqref="G54">
    <cfRule type="cellIs" dxfId="286" priority="6" stopIfTrue="1" operator="greaterThan">
      <formula>2.5</formula>
    </cfRule>
    <cfRule type="cellIs" dxfId="285" priority="7" stopIfTrue="1" operator="between">
      <formula>2.01</formula>
      <formula>2.5</formula>
    </cfRule>
  </conditionalFormatting>
  <conditionalFormatting sqref="H3:H53">
    <cfRule type="cellIs" dxfId="284" priority="5" stopIfTrue="1" operator="lessThan">
      <formula>1</formula>
    </cfRule>
  </conditionalFormatting>
  <conditionalFormatting sqref="G3:G53">
    <cfRule type="cellIs" dxfId="283" priority="3" stopIfTrue="1" operator="greaterThan">
      <formula>2.5</formula>
    </cfRule>
    <cfRule type="cellIs" dxfId="282" priority="4" stopIfTrue="1" operator="between">
      <formula>2.01</formula>
      <formula>2.5</formula>
    </cfRule>
  </conditionalFormatting>
  <conditionalFormatting sqref="K3:K52">
    <cfRule type="cellIs" dxfId="281" priority="1" stopIfTrue="1" operator="greaterThan">
      <formula>$F3*2.5</formula>
    </cfRule>
    <cfRule type="cellIs" dxfId="280"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91F3B-A854-46EF-916A-45422F1A8B42}">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92</v>
      </c>
      <c r="B1" s="178" t="s">
        <v>93</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985078263.65999997</v>
      </c>
      <c r="D3" s="13">
        <v>154897673.79000008</v>
      </c>
      <c r="E3" s="13">
        <v>13352801.99</v>
      </c>
      <c r="F3" s="13">
        <v>24778539</v>
      </c>
      <c r="G3" s="14">
        <v>6.25</v>
      </c>
      <c r="H3" s="14">
        <v>0.54</v>
      </c>
      <c r="I3" s="13">
        <v>1112733.4991666668</v>
      </c>
      <c r="J3" s="15">
        <v>2</v>
      </c>
      <c r="K3" s="13">
        <v>152672206.79166675</v>
      </c>
      <c r="L3" s="13">
        <v>52670297.895000041</v>
      </c>
      <c r="M3" s="13">
        <v>46475663.145000041</v>
      </c>
      <c r="N3" s="179">
        <v>43647</v>
      </c>
      <c r="O3" s="16">
        <v>45474</v>
      </c>
      <c r="P3" s="13">
        <v>1135041.17</v>
      </c>
      <c r="Q3" s="223" t="e">
        <v>#VALUE!</v>
      </c>
    </row>
    <row r="4" spans="1:17" x14ac:dyDescent="0.2">
      <c r="A4" s="4" t="s">
        <v>22</v>
      </c>
      <c r="B4" s="13">
        <v>708696383.32000005</v>
      </c>
      <c r="C4" s="13">
        <v>632809780.02999997</v>
      </c>
      <c r="D4" s="13">
        <v>75886603.290000081</v>
      </c>
      <c r="E4" s="13">
        <v>11810594.48</v>
      </c>
      <c r="F4" s="13">
        <v>13833071</v>
      </c>
      <c r="G4" s="14">
        <v>5.49</v>
      </c>
      <c r="H4" s="14">
        <v>0.85</v>
      </c>
      <c r="I4" s="13">
        <v>984216.20666666667</v>
      </c>
      <c r="J4" s="15">
        <v>2</v>
      </c>
      <c r="K4" s="13">
        <v>73918170.876666754</v>
      </c>
      <c r="L4" s="13">
        <v>24110230.645000041</v>
      </c>
      <c r="M4" s="13">
        <v>20651962.895000041</v>
      </c>
      <c r="N4" s="179">
        <v>43647</v>
      </c>
      <c r="O4" s="16">
        <v>45474</v>
      </c>
      <c r="P4" s="13">
        <v>175652.13</v>
      </c>
      <c r="Q4" s="222" t="e">
        <v>#VALUE!</v>
      </c>
    </row>
    <row r="5" spans="1:17" x14ac:dyDescent="0.2">
      <c r="A5" s="4" t="s">
        <v>21</v>
      </c>
      <c r="B5" s="13">
        <v>1788595890.3599999</v>
      </c>
      <c r="C5" s="13">
        <v>1536108744.1500001</v>
      </c>
      <c r="D5" s="13">
        <v>252487146.2099998</v>
      </c>
      <c r="E5" s="13">
        <v>35700150.729999997</v>
      </c>
      <c r="F5" s="13">
        <v>46272979</v>
      </c>
      <c r="G5" s="14">
        <v>5.46</v>
      </c>
      <c r="H5" s="14">
        <v>0.77</v>
      </c>
      <c r="I5" s="13">
        <v>2975012.5608333331</v>
      </c>
      <c r="J5" s="15">
        <v>8</v>
      </c>
      <c r="K5" s="13">
        <v>228687045.72333312</v>
      </c>
      <c r="L5" s="13">
        <v>19992648.526249975</v>
      </c>
      <c r="M5" s="13">
        <v>17100587.338749975</v>
      </c>
      <c r="N5" s="179">
        <v>43831</v>
      </c>
      <c r="O5" s="16">
        <v>45658</v>
      </c>
      <c r="P5" s="13">
        <v>2117437.35</v>
      </c>
      <c r="Q5" s="222" t="e">
        <v>#VALUE!</v>
      </c>
    </row>
    <row r="6" spans="1:17" x14ac:dyDescent="0.2">
      <c r="A6" s="4" t="s">
        <v>24</v>
      </c>
      <c r="B6" s="13">
        <v>1469242870.97</v>
      </c>
      <c r="C6" s="13">
        <v>1295539677.97</v>
      </c>
      <c r="D6" s="13">
        <v>173703193</v>
      </c>
      <c r="E6" s="13">
        <v>18117853.25</v>
      </c>
      <c r="F6" s="13">
        <v>33073641</v>
      </c>
      <c r="G6" s="14">
        <v>5.25</v>
      </c>
      <c r="H6" s="14">
        <v>0.55000000000000004</v>
      </c>
      <c r="I6" s="13">
        <v>1509821.1041666667</v>
      </c>
      <c r="J6" s="15">
        <v>2</v>
      </c>
      <c r="K6" s="13">
        <v>170683550.79166666</v>
      </c>
      <c r="L6" s="13">
        <v>53777955.5</v>
      </c>
      <c r="M6" s="13">
        <v>45509545.25</v>
      </c>
      <c r="N6" s="179">
        <v>43647</v>
      </c>
      <c r="O6" s="16">
        <v>45474</v>
      </c>
      <c r="P6" s="13">
        <v>555922.87</v>
      </c>
      <c r="Q6" s="222" t="e">
        <v>#VALUE!</v>
      </c>
    </row>
    <row r="7" spans="1:17" x14ac:dyDescent="0.2">
      <c r="A7" s="4" t="s">
        <v>23</v>
      </c>
      <c r="B7" s="13">
        <v>1336273473.74</v>
      </c>
      <c r="C7" s="13">
        <v>1188709074.2</v>
      </c>
      <c r="D7" s="13">
        <v>147564399.53999996</v>
      </c>
      <c r="E7" s="13">
        <v>18706923.289999999</v>
      </c>
      <c r="F7" s="13">
        <v>29074134</v>
      </c>
      <c r="G7" s="14">
        <v>5.08</v>
      </c>
      <c r="H7" s="14">
        <v>0.64</v>
      </c>
      <c r="I7" s="13">
        <v>1558910.2741666667</v>
      </c>
      <c r="J7" s="15">
        <v>8</v>
      </c>
      <c r="K7" s="13">
        <v>135093117.34666663</v>
      </c>
      <c r="L7" s="13">
        <v>11177016.442499995</v>
      </c>
      <c r="M7" s="13">
        <v>9359883.0674999952</v>
      </c>
      <c r="N7" s="179">
        <v>43831</v>
      </c>
      <c r="O7" s="16">
        <v>45658</v>
      </c>
      <c r="P7" s="13">
        <v>2059878.03</v>
      </c>
      <c r="Q7" s="222" t="e">
        <v>#VALUE!</v>
      </c>
    </row>
    <row r="8" spans="1:17" x14ac:dyDescent="0.2">
      <c r="A8" s="4" t="s">
        <v>26</v>
      </c>
      <c r="B8" s="13">
        <v>120899760.39</v>
      </c>
      <c r="C8" s="13">
        <v>104420230.43000001</v>
      </c>
      <c r="D8" s="13">
        <v>16479529.959999993</v>
      </c>
      <c r="E8" s="13">
        <v>1752823.16</v>
      </c>
      <c r="F8" s="13">
        <v>3521015</v>
      </c>
      <c r="G8" s="14">
        <v>4.68</v>
      </c>
      <c r="H8" s="14">
        <v>0.5</v>
      </c>
      <c r="I8" s="13">
        <v>146068.59666666665</v>
      </c>
      <c r="J8" s="15">
        <v>8</v>
      </c>
      <c r="K8" s="13">
        <v>15310981.18666666</v>
      </c>
      <c r="L8" s="13">
        <v>1179687.4949999992</v>
      </c>
      <c r="M8" s="13">
        <v>959624.05749999918</v>
      </c>
      <c r="N8" s="179">
        <v>43831</v>
      </c>
      <c r="O8" s="16">
        <v>45658</v>
      </c>
      <c r="P8" s="13">
        <v>25360.32</v>
      </c>
      <c r="Q8" s="222" t="e">
        <v>#VALUE!</v>
      </c>
    </row>
    <row r="9" spans="1:17" x14ac:dyDescent="0.2">
      <c r="A9" s="4" t="s">
        <v>31</v>
      </c>
      <c r="B9" s="13">
        <v>493558716</v>
      </c>
      <c r="C9" s="13">
        <v>445737803.64999998</v>
      </c>
      <c r="D9" s="13">
        <v>47820912.350000024</v>
      </c>
      <c r="E9" s="13">
        <v>6955540</v>
      </c>
      <c r="F9" s="13">
        <v>11038481</v>
      </c>
      <c r="G9" s="14">
        <v>4.33</v>
      </c>
      <c r="H9" s="14">
        <v>0.63</v>
      </c>
      <c r="I9" s="13">
        <v>579628.33333333337</v>
      </c>
      <c r="J9" s="15">
        <v>8</v>
      </c>
      <c r="K9" s="13">
        <v>43183885.68333336</v>
      </c>
      <c r="L9" s="13">
        <v>3217993.793750003</v>
      </c>
      <c r="M9" s="13">
        <v>2528088.731250003</v>
      </c>
      <c r="N9" s="179">
        <v>43831</v>
      </c>
      <c r="O9" s="16">
        <v>45658</v>
      </c>
      <c r="P9" s="13">
        <v>0</v>
      </c>
      <c r="Q9" s="222" t="e">
        <v>#VALUE!</v>
      </c>
    </row>
    <row r="10" spans="1:17" x14ac:dyDescent="0.2">
      <c r="A10" s="4" t="s">
        <v>27</v>
      </c>
      <c r="B10" s="13">
        <v>853256279</v>
      </c>
      <c r="C10" s="13">
        <v>774760480.63</v>
      </c>
      <c r="D10" s="13">
        <v>78495798.370000005</v>
      </c>
      <c r="E10" s="13">
        <v>17940835.100000001</v>
      </c>
      <c r="F10" s="13">
        <v>18836467</v>
      </c>
      <c r="G10" s="14">
        <v>4.17</v>
      </c>
      <c r="H10" s="14">
        <v>0.95</v>
      </c>
      <c r="I10" s="13">
        <v>1495069.5916666668</v>
      </c>
      <c r="J10" s="15">
        <v>5</v>
      </c>
      <c r="K10" s="13">
        <v>71020450.411666676</v>
      </c>
      <c r="L10" s="13">
        <v>8164572.8740000008</v>
      </c>
      <c r="M10" s="13">
        <v>6280926.1740000006</v>
      </c>
      <c r="N10" s="179">
        <v>43739</v>
      </c>
      <c r="O10" s="16">
        <v>45566</v>
      </c>
      <c r="P10" s="13">
        <v>4539.4799999999996</v>
      </c>
      <c r="Q10" s="222" t="e">
        <v>#VALUE!</v>
      </c>
    </row>
    <row r="11" spans="1:17" x14ac:dyDescent="0.2">
      <c r="A11" s="4" t="s">
        <v>25</v>
      </c>
      <c r="B11" s="13">
        <v>265120500</v>
      </c>
      <c r="C11" s="13">
        <v>239466290.30000001</v>
      </c>
      <c r="D11" s="13">
        <v>25654209.699999988</v>
      </c>
      <c r="E11" s="13">
        <v>8415397.6799999997</v>
      </c>
      <c r="F11" s="13">
        <v>6172506</v>
      </c>
      <c r="G11" s="14">
        <v>4.16</v>
      </c>
      <c r="H11" s="14">
        <v>1.36</v>
      </c>
      <c r="I11" s="13">
        <v>701283.14</v>
      </c>
      <c r="J11" s="15">
        <v>0</v>
      </c>
      <c r="K11" s="13">
        <v>25654209.699999988</v>
      </c>
      <c r="L11" s="13" t="s">
        <v>20</v>
      </c>
      <c r="M11" s="13" t="s">
        <v>20</v>
      </c>
      <c r="N11" s="179">
        <v>43922</v>
      </c>
      <c r="O11" s="16">
        <v>45383</v>
      </c>
      <c r="P11" s="13">
        <v>441289.27</v>
      </c>
      <c r="Q11" s="222" t="e">
        <v>#VALUE!</v>
      </c>
    </row>
    <row r="12" spans="1:17" x14ac:dyDescent="0.2">
      <c r="A12" s="4" t="s">
        <v>40</v>
      </c>
      <c r="B12" s="13">
        <v>203184695.25999999</v>
      </c>
      <c r="C12" s="13">
        <v>179655260.22</v>
      </c>
      <c r="D12" s="13">
        <v>23529435.039999992</v>
      </c>
      <c r="E12" s="13">
        <v>6298022.5899999999</v>
      </c>
      <c r="F12" s="13">
        <v>5655134</v>
      </c>
      <c r="G12" s="14">
        <v>4.16</v>
      </c>
      <c r="H12" s="14">
        <v>1.1100000000000001</v>
      </c>
      <c r="I12" s="13">
        <v>524835.21583333332</v>
      </c>
      <c r="J12" s="15">
        <v>2</v>
      </c>
      <c r="K12" s="13">
        <v>22479764.608333327</v>
      </c>
      <c r="L12" s="13">
        <v>6109583.5199999958</v>
      </c>
      <c r="M12" s="13">
        <v>4695800.0199999958</v>
      </c>
      <c r="N12" s="179">
        <v>43647</v>
      </c>
      <c r="O12" s="16">
        <v>45474</v>
      </c>
      <c r="P12" s="13">
        <v>383003.13</v>
      </c>
      <c r="Q12" s="222" t="e">
        <v>#VALUE!</v>
      </c>
    </row>
    <row r="13" spans="1:17" x14ac:dyDescent="0.2">
      <c r="A13" s="4" t="s">
        <v>28</v>
      </c>
      <c r="B13" s="13">
        <v>1945106991</v>
      </c>
      <c r="C13" s="13">
        <v>1853572553.79</v>
      </c>
      <c r="D13" s="13">
        <v>91534437.210000038</v>
      </c>
      <c r="E13" s="13">
        <v>21724265.789999999</v>
      </c>
      <c r="F13" s="13">
        <v>22131554</v>
      </c>
      <c r="G13" s="14">
        <v>4.1399999999999997</v>
      </c>
      <c r="H13" s="14">
        <v>0.98</v>
      </c>
      <c r="I13" s="13">
        <v>1810355.4824999999</v>
      </c>
      <c r="J13" s="15">
        <v>2</v>
      </c>
      <c r="K13" s="13">
        <v>87913726.245000035</v>
      </c>
      <c r="L13" s="13">
        <v>23635664.605000019</v>
      </c>
      <c r="M13" s="13">
        <v>18102776.105000019</v>
      </c>
      <c r="N13" s="179">
        <v>43647</v>
      </c>
      <c r="O13" s="16">
        <v>45474</v>
      </c>
      <c r="P13" s="13">
        <v>1701498.13</v>
      </c>
      <c r="Q13" s="222" t="e">
        <v>#VALUE!</v>
      </c>
    </row>
    <row r="14" spans="1:17" x14ac:dyDescent="0.2">
      <c r="A14" s="4" t="s">
        <v>37</v>
      </c>
      <c r="B14" s="13">
        <v>187480557</v>
      </c>
      <c r="C14" s="13">
        <v>173244238.41</v>
      </c>
      <c r="D14" s="13">
        <v>14236318.590000004</v>
      </c>
      <c r="E14" s="13">
        <v>2906394.26</v>
      </c>
      <c r="F14" s="13">
        <v>3515583</v>
      </c>
      <c r="G14" s="14">
        <v>4.05</v>
      </c>
      <c r="H14" s="14">
        <v>0.83</v>
      </c>
      <c r="I14" s="13">
        <v>242199.52166666664</v>
      </c>
      <c r="J14" s="15">
        <v>2</v>
      </c>
      <c r="K14" s="13">
        <v>13751919.546666671</v>
      </c>
      <c r="L14" s="13">
        <v>3602576.2950000018</v>
      </c>
      <c r="M14" s="13">
        <v>2723680.5450000018</v>
      </c>
      <c r="N14" s="179">
        <v>43647</v>
      </c>
      <c r="O14" s="16">
        <v>45474</v>
      </c>
      <c r="P14" s="13">
        <v>501765.35</v>
      </c>
      <c r="Q14" s="222" t="e">
        <v>#VALUE!</v>
      </c>
    </row>
    <row r="15" spans="1:17" x14ac:dyDescent="0.2">
      <c r="A15" s="4" t="s">
        <v>32</v>
      </c>
      <c r="B15" s="13">
        <v>1168142277.4400001</v>
      </c>
      <c r="C15" s="13">
        <v>1062199991.79</v>
      </c>
      <c r="D15" s="13">
        <v>105942285.6500001</v>
      </c>
      <c r="E15" s="13">
        <v>19650399.800000001</v>
      </c>
      <c r="F15" s="13">
        <v>26355588</v>
      </c>
      <c r="G15" s="14">
        <v>4.0199999999999996</v>
      </c>
      <c r="H15" s="14">
        <v>0.75</v>
      </c>
      <c r="I15" s="13">
        <v>1637533.3166666667</v>
      </c>
      <c r="J15" s="15">
        <v>2</v>
      </c>
      <c r="K15" s="13">
        <v>102667219.01666676</v>
      </c>
      <c r="L15" s="13">
        <v>26615554.825000048</v>
      </c>
      <c r="M15" s="13">
        <v>20026657.825000048</v>
      </c>
      <c r="N15" s="179">
        <v>43647</v>
      </c>
      <c r="O15" s="16">
        <v>45474</v>
      </c>
      <c r="P15" s="13">
        <v>2281225</v>
      </c>
      <c r="Q15" s="222" t="e">
        <v>#VALUE!</v>
      </c>
    </row>
    <row r="16" spans="1:17" x14ac:dyDescent="0.2">
      <c r="A16" s="4" t="s">
        <v>34</v>
      </c>
      <c r="B16" s="13">
        <v>1438428739.9100001</v>
      </c>
      <c r="C16" s="13">
        <v>1319002773.04</v>
      </c>
      <c r="D16" s="13">
        <v>119425966.87000012</v>
      </c>
      <c r="E16" s="13">
        <v>25078653.449999999</v>
      </c>
      <c r="F16" s="13">
        <v>30065955</v>
      </c>
      <c r="G16" s="14">
        <v>3.97</v>
      </c>
      <c r="H16" s="14">
        <v>0.83</v>
      </c>
      <c r="I16" s="13">
        <v>2089887.7874999999</v>
      </c>
      <c r="J16" s="15">
        <v>2</v>
      </c>
      <c r="K16" s="13">
        <v>115246191.29500012</v>
      </c>
      <c r="L16" s="13">
        <v>29647028.435000062</v>
      </c>
      <c r="M16" s="13">
        <v>22130539.685000062</v>
      </c>
      <c r="N16" s="179">
        <v>43647</v>
      </c>
      <c r="O16" s="16">
        <v>45474</v>
      </c>
      <c r="P16" s="13">
        <v>1972955.71</v>
      </c>
      <c r="Q16" s="222" t="e">
        <v>#VALUE!</v>
      </c>
    </row>
    <row r="17" spans="1:17" x14ac:dyDescent="0.2">
      <c r="A17" s="4" t="s">
        <v>29</v>
      </c>
      <c r="B17" s="13">
        <v>800464324.92999995</v>
      </c>
      <c r="C17" s="13">
        <v>731996512.84000003</v>
      </c>
      <c r="D17" s="13">
        <v>68467812.089999914</v>
      </c>
      <c r="E17" s="13">
        <v>19580684.140000001</v>
      </c>
      <c r="F17" s="13">
        <v>17480755</v>
      </c>
      <c r="G17" s="14">
        <v>3.92</v>
      </c>
      <c r="H17" s="14">
        <v>1.1200000000000001</v>
      </c>
      <c r="I17" s="13">
        <v>1631723.6783333335</v>
      </c>
      <c r="J17" s="15">
        <v>2</v>
      </c>
      <c r="K17" s="13">
        <v>65204364.733333245</v>
      </c>
      <c r="L17" s="13">
        <v>16753151.044999957</v>
      </c>
      <c r="M17" s="13">
        <v>12382962.294999957</v>
      </c>
      <c r="N17" s="179">
        <v>43647</v>
      </c>
      <c r="O17" s="16">
        <v>45474</v>
      </c>
      <c r="P17" s="13">
        <v>1142733.78</v>
      </c>
      <c r="Q17" s="222" t="e">
        <v>#VALUE!</v>
      </c>
    </row>
    <row r="18" spans="1:17" x14ac:dyDescent="0.2">
      <c r="A18" s="4" t="s">
        <v>35</v>
      </c>
      <c r="B18" s="13">
        <v>794219275</v>
      </c>
      <c r="C18" s="13">
        <v>720031818.57000005</v>
      </c>
      <c r="D18" s="13">
        <v>74187456.429999948</v>
      </c>
      <c r="E18" s="13">
        <v>14606986.689999999</v>
      </c>
      <c r="F18" s="13">
        <v>19107637</v>
      </c>
      <c r="G18" s="14">
        <v>3.88</v>
      </c>
      <c r="H18" s="14">
        <v>0.76</v>
      </c>
      <c r="I18" s="13">
        <v>1217248.8908333334</v>
      </c>
      <c r="J18" s="15">
        <v>2</v>
      </c>
      <c r="K18" s="13">
        <v>71752958.648333281</v>
      </c>
      <c r="L18" s="13">
        <v>17986091.214999974</v>
      </c>
      <c r="M18" s="13">
        <v>13209181.964999974</v>
      </c>
      <c r="N18" s="179">
        <v>43647</v>
      </c>
      <c r="O18" s="16">
        <v>45474</v>
      </c>
      <c r="P18" s="13">
        <v>925476.32</v>
      </c>
      <c r="Q18" s="222" t="e">
        <v>#VALUE!</v>
      </c>
    </row>
    <row r="19" spans="1:17" x14ac:dyDescent="0.2">
      <c r="A19" s="4" t="s">
        <v>30</v>
      </c>
      <c r="B19" s="13">
        <v>1022430792.45</v>
      </c>
      <c r="C19" s="13">
        <v>947483327.03999996</v>
      </c>
      <c r="D19" s="13">
        <v>74947465.410000086</v>
      </c>
      <c r="E19" s="13">
        <v>25472915.18</v>
      </c>
      <c r="F19" s="13">
        <v>19809810</v>
      </c>
      <c r="G19" s="14">
        <v>3.78</v>
      </c>
      <c r="H19" s="14">
        <v>1.29</v>
      </c>
      <c r="I19" s="13">
        <v>2122742.9316666666</v>
      </c>
      <c r="J19" s="15">
        <v>0</v>
      </c>
      <c r="K19" s="13">
        <v>74947465.410000086</v>
      </c>
      <c r="L19" s="13" t="s">
        <v>20</v>
      </c>
      <c r="M19" s="13" t="s">
        <v>20</v>
      </c>
      <c r="N19" s="179">
        <v>43922</v>
      </c>
      <c r="O19" s="16">
        <v>45383</v>
      </c>
      <c r="P19" s="13">
        <v>1560720.81</v>
      </c>
      <c r="Q19" s="222" t="e">
        <v>#VALUE!</v>
      </c>
    </row>
    <row r="20" spans="1:17" x14ac:dyDescent="0.2">
      <c r="A20" s="4" t="s">
        <v>39</v>
      </c>
      <c r="B20" s="13">
        <v>500565228.91000003</v>
      </c>
      <c r="C20" s="13">
        <v>460886200.97000003</v>
      </c>
      <c r="D20" s="13">
        <v>39679027.939999998</v>
      </c>
      <c r="E20" s="13">
        <v>6394968.0499999998</v>
      </c>
      <c r="F20" s="13">
        <v>10539100</v>
      </c>
      <c r="G20" s="14">
        <v>3.76</v>
      </c>
      <c r="H20" s="14">
        <v>0.61</v>
      </c>
      <c r="I20" s="13">
        <v>532914.00416666665</v>
      </c>
      <c r="J20" s="15">
        <v>2</v>
      </c>
      <c r="K20" s="13">
        <v>38613199.931666665</v>
      </c>
      <c r="L20" s="13">
        <v>9300413.9699999988</v>
      </c>
      <c r="M20" s="13">
        <v>6665638.9699999988</v>
      </c>
      <c r="N20" s="179">
        <v>43647</v>
      </c>
      <c r="O20" s="16">
        <v>45474</v>
      </c>
      <c r="P20" s="13">
        <v>251429.02</v>
      </c>
      <c r="Q20" s="222" t="e">
        <v>#VALUE!</v>
      </c>
    </row>
    <row r="21" spans="1:17" x14ac:dyDescent="0.2">
      <c r="A21" s="4" t="s">
        <v>44</v>
      </c>
      <c r="B21" s="13">
        <v>300551063.33999997</v>
      </c>
      <c r="C21" s="13">
        <v>276151015.33999997</v>
      </c>
      <c r="D21" s="13">
        <v>24400048</v>
      </c>
      <c r="E21" s="13">
        <v>9974924.4399999995</v>
      </c>
      <c r="F21" s="13">
        <v>6730317</v>
      </c>
      <c r="G21" s="14">
        <v>3.63</v>
      </c>
      <c r="H21" s="14">
        <v>1.48</v>
      </c>
      <c r="I21" s="13">
        <v>831243.70333333325</v>
      </c>
      <c r="J21" s="15">
        <v>2</v>
      </c>
      <c r="K21" s="13">
        <v>22737560.593333334</v>
      </c>
      <c r="L21" s="13">
        <v>5469707</v>
      </c>
      <c r="M21" s="13">
        <v>3787127.75</v>
      </c>
      <c r="N21" s="179">
        <v>43647</v>
      </c>
      <c r="O21" s="16">
        <v>45474</v>
      </c>
      <c r="P21" s="13">
        <v>490435.59</v>
      </c>
      <c r="Q21" s="222" t="e">
        <v>#VALUE!</v>
      </c>
    </row>
    <row r="22" spans="1:17" x14ac:dyDescent="0.2">
      <c r="A22" s="4" t="s">
        <v>47</v>
      </c>
      <c r="B22" s="13">
        <v>104394118</v>
      </c>
      <c r="C22" s="13">
        <v>95218267.590000004</v>
      </c>
      <c r="D22" s="13">
        <v>9175850.4099999964</v>
      </c>
      <c r="E22" s="13">
        <v>2293247.4300000002</v>
      </c>
      <c r="F22" s="13">
        <v>2677355</v>
      </c>
      <c r="G22" s="14">
        <v>3.43</v>
      </c>
      <c r="H22" s="14">
        <v>0.86</v>
      </c>
      <c r="I22" s="13">
        <v>191103.95250000001</v>
      </c>
      <c r="J22" s="15">
        <v>2</v>
      </c>
      <c r="K22" s="13">
        <v>8793642.5049999971</v>
      </c>
      <c r="L22" s="13">
        <v>1910570.2049999982</v>
      </c>
      <c r="M22" s="13">
        <v>1241231.4549999982</v>
      </c>
      <c r="N22" s="179">
        <v>43647</v>
      </c>
      <c r="O22" s="16">
        <v>45474</v>
      </c>
      <c r="P22" s="13">
        <v>99624.39</v>
      </c>
      <c r="Q22" s="222" t="e">
        <v>#VALUE!</v>
      </c>
    </row>
    <row r="23" spans="1:17" x14ac:dyDescent="0.2">
      <c r="A23" s="4" t="s">
        <v>33</v>
      </c>
      <c r="B23" s="13">
        <v>1010324720</v>
      </c>
      <c r="C23" s="13">
        <v>932029022.07000005</v>
      </c>
      <c r="D23" s="13">
        <v>78295697.929999948</v>
      </c>
      <c r="E23" s="13">
        <v>32446648.989999998</v>
      </c>
      <c r="F23" s="13">
        <v>23059848</v>
      </c>
      <c r="G23" s="14">
        <v>3.4</v>
      </c>
      <c r="H23" s="14">
        <v>1.41</v>
      </c>
      <c r="I23" s="13">
        <v>2703887.415833333</v>
      </c>
      <c r="J23" s="15">
        <v>0</v>
      </c>
      <c r="K23" s="13">
        <v>78295697.929999948</v>
      </c>
      <c r="L23" s="13" t="s">
        <v>20</v>
      </c>
      <c r="M23" s="13" t="s">
        <v>20</v>
      </c>
      <c r="N23" s="179">
        <v>43922</v>
      </c>
      <c r="O23" s="16">
        <v>45383</v>
      </c>
      <c r="P23" s="13">
        <v>3299965.2</v>
      </c>
      <c r="Q23" s="222" t="e">
        <v>#VALUE!</v>
      </c>
    </row>
    <row r="24" spans="1:17" x14ac:dyDescent="0.2">
      <c r="A24" s="4" t="s">
        <v>43</v>
      </c>
      <c r="B24" s="13">
        <v>254239457</v>
      </c>
      <c r="C24" s="13">
        <v>235109849.94</v>
      </c>
      <c r="D24" s="13">
        <v>19129607.060000002</v>
      </c>
      <c r="E24" s="13">
        <v>6606225.0300000003</v>
      </c>
      <c r="F24" s="13">
        <v>5680880</v>
      </c>
      <c r="G24" s="14">
        <v>3.37</v>
      </c>
      <c r="H24" s="14">
        <v>1.1599999999999999</v>
      </c>
      <c r="I24" s="13">
        <v>550518.75250000006</v>
      </c>
      <c r="J24" s="15">
        <v>8</v>
      </c>
      <c r="K24" s="13">
        <v>14725457.040000003</v>
      </c>
      <c r="L24" s="13">
        <v>970980.8825000003</v>
      </c>
      <c r="M24" s="13">
        <v>615925.8825000003</v>
      </c>
      <c r="N24" s="179">
        <v>43831</v>
      </c>
      <c r="O24" s="16">
        <v>45658</v>
      </c>
      <c r="P24" s="13">
        <v>0</v>
      </c>
      <c r="Q24" s="222" t="e">
        <v>#VALUE!</v>
      </c>
    </row>
    <row r="25" spans="1:17" x14ac:dyDescent="0.2">
      <c r="A25" s="4" t="s">
        <v>45</v>
      </c>
      <c r="B25" s="13">
        <v>2001064841.29</v>
      </c>
      <c r="C25" s="13">
        <v>1871734832.1199999</v>
      </c>
      <c r="D25" s="13">
        <v>129330009.17000008</v>
      </c>
      <c r="E25" s="13">
        <v>38379000.740000002</v>
      </c>
      <c r="F25" s="13">
        <v>40779947</v>
      </c>
      <c r="G25" s="14">
        <v>3.17</v>
      </c>
      <c r="H25" s="14">
        <v>0.94</v>
      </c>
      <c r="I25" s="13">
        <v>3198250.061666667</v>
      </c>
      <c r="J25" s="15">
        <v>8</v>
      </c>
      <c r="K25" s="13">
        <v>103744008.67666674</v>
      </c>
      <c r="L25" s="13">
        <v>5971264.3962500095</v>
      </c>
      <c r="M25" s="13">
        <v>3422517.7087500095</v>
      </c>
      <c r="N25" s="179">
        <v>43831</v>
      </c>
      <c r="O25" s="16">
        <v>45658</v>
      </c>
      <c r="P25" s="13">
        <v>1783541.24</v>
      </c>
      <c r="Q25" s="222" t="e">
        <v>#VALUE!</v>
      </c>
    </row>
    <row r="26" spans="1:17" x14ac:dyDescent="0.2">
      <c r="A26" s="4" t="s">
        <v>51</v>
      </c>
      <c r="B26" s="13">
        <v>1059732308</v>
      </c>
      <c r="C26" s="13">
        <v>983655500.99000001</v>
      </c>
      <c r="D26" s="13">
        <v>76076807.00999999</v>
      </c>
      <c r="E26" s="13">
        <v>16097860.640000001</v>
      </c>
      <c r="F26" s="13">
        <v>24168777</v>
      </c>
      <c r="G26" s="14">
        <v>3.15</v>
      </c>
      <c r="H26" s="14">
        <v>0.67</v>
      </c>
      <c r="I26" s="13">
        <v>1341488.3866666667</v>
      </c>
      <c r="J26" s="15">
        <v>8</v>
      </c>
      <c r="K26" s="13">
        <v>65344899.916666657</v>
      </c>
      <c r="L26" s="13">
        <v>3467406.6262499988</v>
      </c>
      <c r="M26" s="13">
        <v>1956858.0637499988</v>
      </c>
      <c r="N26" s="179">
        <v>43831</v>
      </c>
      <c r="O26" s="16">
        <v>45658</v>
      </c>
      <c r="P26" s="13">
        <v>1131808.49</v>
      </c>
      <c r="Q26" s="222" t="e">
        <v>#VALUE!</v>
      </c>
    </row>
    <row r="27" spans="1:17" x14ac:dyDescent="0.2">
      <c r="A27" s="4" t="s">
        <v>41</v>
      </c>
      <c r="B27" s="13">
        <v>1228777673.53</v>
      </c>
      <c r="C27" s="13">
        <v>1083070291.99</v>
      </c>
      <c r="D27" s="13">
        <v>145707381.53999996</v>
      </c>
      <c r="E27" s="13">
        <v>57144061.140000001</v>
      </c>
      <c r="F27" s="13">
        <v>47456120</v>
      </c>
      <c r="G27" s="14">
        <v>3.07</v>
      </c>
      <c r="H27" s="14">
        <v>1.2</v>
      </c>
      <c r="I27" s="13">
        <v>4762005.0949999997</v>
      </c>
      <c r="J27" s="15">
        <v>8</v>
      </c>
      <c r="K27" s="13">
        <v>107611340.77999997</v>
      </c>
      <c r="L27" s="13">
        <v>6349392.6924999952</v>
      </c>
      <c r="M27" s="13" t="s">
        <v>42</v>
      </c>
      <c r="N27" s="179">
        <v>43831</v>
      </c>
      <c r="O27" s="16">
        <v>45658</v>
      </c>
      <c r="P27" s="13">
        <v>1584670.13</v>
      </c>
      <c r="Q27" s="222" t="e">
        <v>#VALUE!</v>
      </c>
    </row>
    <row r="28" spans="1:17" x14ac:dyDescent="0.2">
      <c r="A28" s="4" t="s">
        <v>49</v>
      </c>
      <c r="B28" s="13">
        <v>1239472339.1700001</v>
      </c>
      <c r="C28" s="13">
        <v>1166612106.3199999</v>
      </c>
      <c r="D28" s="13">
        <v>72860232.850000143</v>
      </c>
      <c r="E28" s="13">
        <v>21930084.09</v>
      </c>
      <c r="F28" s="13">
        <v>24088947</v>
      </c>
      <c r="G28" s="14">
        <v>3.02</v>
      </c>
      <c r="H28" s="14">
        <v>0.91</v>
      </c>
      <c r="I28" s="13">
        <v>1827507.0075000001</v>
      </c>
      <c r="J28" s="15">
        <v>2</v>
      </c>
      <c r="K28" s="13">
        <v>69205218.835000142</v>
      </c>
      <c r="L28" s="13">
        <v>12341169.425000072</v>
      </c>
      <c r="M28" s="13">
        <v>6318932.6750000715</v>
      </c>
      <c r="N28" s="179">
        <v>43647</v>
      </c>
      <c r="O28" s="16">
        <v>45474</v>
      </c>
      <c r="P28" s="13">
        <v>2029324.69</v>
      </c>
      <c r="Q28" s="222" t="e">
        <v>#VALUE!</v>
      </c>
    </row>
    <row r="29" spans="1:17" x14ac:dyDescent="0.2">
      <c r="A29" s="4" t="s">
        <v>50</v>
      </c>
      <c r="B29" s="13">
        <v>1642297566.0699999</v>
      </c>
      <c r="C29" s="13">
        <v>1518932953.03</v>
      </c>
      <c r="D29" s="13">
        <v>123364613.03999996</v>
      </c>
      <c r="E29" s="13">
        <v>38721427.710000001</v>
      </c>
      <c r="F29" s="13">
        <v>40984884</v>
      </c>
      <c r="G29" s="14">
        <v>3.01</v>
      </c>
      <c r="H29" s="14">
        <v>0.94</v>
      </c>
      <c r="I29" s="13">
        <v>3226785.6425000001</v>
      </c>
      <c r="J29" s="15">
        <v>2</v>
      </c>
      <c r="K29" s="13">
        <v>116911041.75499997</v>
      </c>
      <c r="L29" s="13">
        <v>20697422.519999981</v>
      </c>
      <c r="M29" s="13">
        <v>10451201.519999981</v>
      </c>
      <c r="N29" s="179">
        <v>43647</v>
      </c>
      <c r="O29" s="16">
        <v>45474</v>
      </c>
      <c r="P29" s="13">
        <v>3715355.44</v>
      </c>
      <c r="Q29" s="222" t="e">
        <v>#VALUE!</v>
      </c>
    </row>
    <row r="30" spans="1:17" x14ac:dyDescent="0.2">
      <c r="A30" s="4" t="s">
        <v>46</v>
      </c>
      <c r="B30" s="13">
        <v>314446387.48000002</v>
      </c>
      <c r="C30" s="13">
        <v>289249256.57999998</v>
      </c>
      <c r="D30" s="13">
        <v>25197130.900000036</v>
      </c>
      <c r="E30" s="13">
        <v>9312317.7400000002</v>
      </c>
      <c r="F30" s="13">
        <v>8369791</v>
      </c>
      <c r="G30" s="14">
        <v>3.01</v>
      </c>
      <c r="H30" s="14">
        <v>1.1100000000000001</v>
      </c>
      <c r="I30" s="13">
        <v>776026.47833333339</v>
      </c>
      <c r="J30" s="15">
        <v>2</v>
      </c>
      <c r="K30" s="13">
        <v>23645077.943333369</v>
      </c>
      <c r="L30" s="13">
        <v>4228774.4500000179</v>
      </c>
      <c r="M30" s="13">
        <v>2136326.7000000179</v>
      </c>
      <c r="N30" s="179">
        <v>43647</v>
      </c>
      <c r="O30" s="16">
        <v>45474</v>
      </c>
      <c r="P30" s="13">
        <v>559196.82999999996</v>
      </c>
      <c r="Q30" s="222" t="e">
        <v>#VALUE!</v>
      </c>
    </row>
    <row r="31" spans="1:17" x14ac:dyDescent="0.2">
      <c r="A31" s="4" t="s">
        <v>36</v>
      </c>
      <c r="B31" s="13">
        <v>392634217.93000001</v>
      </c>
      <c r="C31" s="13">
        <v>365776311.12</v>
      </c>
      <c r="D31" s="13">
        <v>26857906.810000002</v>
      </c>
      <c r="E31" s="13">
        <v>16864798.620000001</v>
      </c>
      <c r="F31" s="13">
        <v>9305817</v>
      </c>
      <c r="G31" s="14">
        <v>2.89</v>
      </c>
      <c r="H31" s="14">
        <v>1.81</v>
      </c>
      <c r="I31" s="13">
        <v>1405399.885</v>
      </c>
      <c r="J31" s="15">
        <v>0</v>
      </c>
      <c r="K31" s="13">
        <v>26857906.810000002</v>
      </c>
      <c r="L31" s="13" t="s">
        <v>20</v>
      </c>
      <c r="M31" s="13" t="s">
        <v>20</v>
      </c>
      <c r="N31" s="179">
        <v>43556</v>
      </c>
      <c r="O31" s="16">
        <v>45383</v>
      </c>
      <c r="P31" s="13">
        <v>320757.27</v>
      </c>
      <c r="Q31" s="222" t="e">
        <v>#VALUE!</v>
      </c>
    </row>
    <row r="32" spans="1:17" x14ac:dyDescent="0.2">
      <c r="A32" s="4" t="s">
        <v>55</v>
      </c>
      <c r="B32" s="13">
        <v>675052951</v>
      </c>
      <c r="C32" s="13">
        <v>632552205.62</v>
      </c>
      <c r="D32" s="13">
        <v>42500745.379999995</v>
      </c>
      <c r="E32" s="13">
        <v>10660434.15</v>
      </c>
      <c r="F32" s="13">
        <v>14786581</v>
      </c>
      <c r="G32" s="14">
        <v>2.87</v>
      </c>
      <c r="H32" s="14">
        <v>0.72</v>
      </c>
      <c r="I32" s="13">
        <v>888369.51250000007</v>
      </c>
      <c r="J32" s="15">
        <v>8</v>
      </c>
      <c r="K32" s="13">
        <v>35393789.279999994</v>
      </c>
      <c r="L32" s="13">
        <v>1615947.9224999994</v>
      </c>
      <c r="M32" s="13" t="s">
        <v>42</v>
      </c>
      <c r="N32" s="179">
        <v>43466</v>
      </c>
      <c r="O32" s="16">
        <v>45658</v>
      </c>
      <c r="P32" s="13">
        <v>335609.46</v>
      </c>
      <c r="Q32" s="222" t="e">
        <v>#VALUE!</v>
      </c>
    </row>
    <row r="33" spans="1:17" x14ac:dyDescent="0.2">
      <c r="A33" s="4" t="s">
        <v>56</v>
      </c>
      <c r="B33" s="13">
        <v>1154905413</v>
      </c>
      <c r="C33" s="13">
        <v>1078186850.8699999</v>
      </c>
      <c r="D33" s="13">
        <v>76718562.130000114</v>
      </c>
      <c r="E33" s="13">
        <v>24333206.989999998</v>
      </c>
      <c r="F33" s="13">
        <v>27571438</v>
      </c>
      <c r="G33" s="14">
        <v>2.78</v>
      </c>
      <c r="H33" s="14">
        <v>0.88</v>
      </c>
      <c r="I33" s="13">
        <v>2027767.2491666665</v>
      </c>
      <c r="J33" s="15">
        <v>2</v>
      </c>
      <c r="K33" s="13">
        <v>72663027.63166678</v>
      </c>
      <c r="L33" s="13">
        <v>10787843.065000057</v>
      </c>
      <c r="M33" s="13">
        <v>3894983.5650000572</v>
      </c>
      <c r="N33" s="179">
        <v>43647</v>
      </c>
      <c r="O33" s="16">
        <v>45474</v>
      </c>
      <c r="P33" s="13">
        <v>2405753.4500000002</v>
      </c>
      <c r="Q33" s="222" t="e">
        <v>#VALUE!</v>
      </c>
    </row>
    <row r="34" spans="1:17" x14ac:dyDescent="0.2">
      <c r="A34" s="4" t="s">
        <v>38</v>
      </c>
      <c r="B34" s="13">
        <v>528328839.02999997</v>
      </c>
      <c r="C34" s="13">
        <v>490180864.73000002</v>
      </c>
      <c r="D34" s="13">
        <v>38147974.299999952</v>
      </c>
      <c r="E34" s="13">
        <v>21700267.129999999</v>
      </c>
      <c r="F34" s="13">
        <v>13880022</v>
      </c>
      <c r="G34" s="14">
        <v>2.75</v>
      </c>
      <c r="H34" s="14">
        <v>1.56</v>
      </c>
      <c r="I34" s="13">
        <v>1808355.5941666665</v>
      </c>
      <c r="J34" s="15">
        <v>2</v>
      </c>
      <c r="K34" s="13">
        <v>34531263.11166662</v>
      </c>
      <c r="L34" s="13">
        <v>5193965.1499999762</v>
      </c>
      <c r="M34" s="13" t="s">
        <v>42</v>
      </c>
      <c r="N34" s="179">
        <v>43647</v>
      </c>
      <c r="O34" s="16">
        <v>45474</v>
      </c>
      <c r="P34" s="13">
        <v>5162504.67</v>
      </c>
      <c r="Q34" s="222" t="e">
        <v>#VALUE!</v>
      </c>
    </row>
    <row r="35" spans="1:17" x14ac:dyDescent="0.2">
      <c r="A35" s="4" t="s">
        <v>53</v>
      </c>
      <c r="B35" s="13">
        <v>2879313105.54</v>
      </c>
      <c r="C35" s="13">
        <v>2694028572.3299999</v>
      </c>
      <c r="D35" s="13">
        <v>185284533.21000004</v>
      </c>
      <c r="E35" s="13">
        <v>78626299.370000005</v>
      </c>
      <c r="F35" s="13">
        <v>70613641</v>
      </c>
      <c r="G35" s="14">
        <v>2.62</v>
      </c>
      <c r="H35" s="14">
        <v>1.1100000000000001</v>
      </c>
      <c r="I35" s="13">
        <v>6552191.6141666668</v>
      </c>
      <c r="J35" s="15">
        <v>4</v>
      </c>
      <c r="K35" s="13">
        <v>159075766.75333336</v>
      </c>
      <c r="L35" s="13">
        <v>11014312.80250001</v>
      </c>
      <c r="M35" s="13" t="s">
        <v>42</v>
      </c>
      <c r="N35" s="179">
        <v>44075</v>
      </c>
      <c r="O35" s="16">
        <v>45536</v>
      </c>
      <c r="P35" s="13">
        <v>2019074.83</v>
      </c>
      <c r="Q35" s="222" t="e">
        <v>#VALUE!</v>
      </c>
    </row>
    <row r="36" spans="1:17" x14ac:dyDescent="0.2">
      <c r="A36" s="4" t="s">
        <v>64</v>
      </c>
      <c r="B36" s="13">
        <v>346058940</v>
      </c>
      <c r="C36" s="13">
        <v>321701307.72000003</v>
      </c>
      <c r="D36" s="13">
        <v>24357632.279999971</v>
      </c>
      <c r="E36" s="13">
        <v>5257145.91</v>
      </c>
      <c r="F36" s="13">
        <v>9353201</v>
      </c>
      <c r="G36" s="14">
        <v>2.6</v>
      </c>
      <c r="H36" s="14">
        <v>0.56000000000000005</v>
      </c>
      <c r="I36" s="13">
        <v>438095.49249999999</v>
      </c>
      <c r="J36" s="15">
        <v>8</v>
      </c>
      <c r="K36" s="13">
        <v>20852868.33999997</v>
      </c>
      <c r="L36" s="13">
        <v>706403.78499999642</v>
      </c>
      <c r="M36" s="13" t="s">
        <v>42</v>
      </c>
      <c r="N36" s="179">
        <v>43831</v>
      </c>
      <c r="O36" s="16">
        <v>45658</v>
      </c>
      <c r="P36" s="13">
        <v>706510.38</v>
      </c>
      <c r="Q36" s="222" t="e">
        <v>#VALUE!</v>
      </c>
    </row>
    <row r="37" spans="1:17" x14ac:dyDescent="0.2">
      <c r="A37" s="4" t="s">
        <v>48</v>
      </c>
      <c r="B37" s="13">
        <v>545409679.30999994</v>
      </c>
      <c r="C37" s="13">
        <v>515350580.31</v>
      </c>
      <c r="D37" s="13">
        <v>30059098.99999994</v>
      </c>
      <c r="E37" s="13">
        <v>16339869.83</v>
      </c>
      <c r="F37" s="13">
        <v>11656242</v>
      </c>
      <c r="G37" s="14">
        <v>2.58</v>
      </c>
      <c r="H37" s="14">
        <v>1.4</v>
      </c>
      <c r="I37" s="13">
        <v>1361655.8191666666</v>
      </c>
      <c r="J37" s="15">
        <v>8</v>
      </c>
      <c r="K37" s="13">
        <v>19165852.446666606</v>
      </c>
      <c r="L37" s="13" t="s">
        <v>42</v>
      </c>
      <c r="M37" s="13" t="s">
        <v>42</v>
      </c>
      <c r="N37" s="179">
        <v>43831</v>
      </c>
      <c r="O37" s="16">
        <v>45658</v>
      </c>
      <c r="P37" s="13">
        <v>1227342</v>
      </c>
      <c r="Q37" s="222" t="e">
        <v>#VALUE!</v>
      </c>
    </row>
    <row r="38" spans="1:17" x14ac:dyDescent="0.2">
      <c r="A38" s="4" t="s">
        <v>52</v>
      </c>
      <c r="B38" s="13">
        <v>522049097</v>
      </c>
      <c r="C38" s="13">
        <v>488267360.72000003</v>
      </c>
      <c r="D38" s="13">
        <v>33781736.279999971</v>
      </c>
      <c r="E38" s="13">
        <v>15235681.91</v>
      </c>
      <c r="F38" s="13">
        <v>13105608</v>
      </c>
      <c r="G38" s="14">
        <v>2.58</v>
      </c>
      <c r="H38" s="14">
        <v>1.1599999999999999</v>
      </c>
      <c r="I38" s="13">
        <v>1269640.1591666667</v>
      </c>
      <c r="J38" s="15">
        <v>2</v>
      </c>
      <c r="K38" s="13">
        <v>31242455.961666636</v>
      </c>
      <c r="L38" s="13">
        <v>3785260.1399999857</v>
      </c>
      <c r="M38" s="13" t="s">
        <v>42</v>
      </c>
      <c r="N38" s="179">
        <v>43647</v>
      </c>
      <c r="O38" s="16">
        <v>45474</v>
      </c>
      <c r="P38" s="13">
        <v>850839.18</v>
      </c>
      <c r="Q38" s="222" t="e">
        <v>#VALUE!</v>
      </c>
    </row>
    <row r="39" spans="1:17" x14ac:dyDescent="0.2">
      <c r="A39" s="4" t="s">
        <v>54</v>
      </c>
      <c r="B39" s="13">
        <v>1394382977.99</v>
      </c>
      <c r="C39" s="13">
        <v>1305849686.5</v>
      </c>
      <c r="D39" s="13">
        <v>88533291.49000001</v>
      </c>
      <c r="E39" s="13">
        <v>36726633.350000001</v>
      </c>
      <c r="F39" s="13">
        <v>34869850</v>
      </c>
      <c r="G39" s="14">
        <v>2.54</v>
      </c>
      <c r="H39" s="14">
        <v>1.05</v>
      </c>
      <c r="I39" s="13">
        <v>3060552.7791666668</v>
      </c>
      <c r="J39" s="15">
        <v>0</v>
      </c>
      <c r="K39" s="13">
        <v>88533291.49000001</v>
      </c>
      <c r="L39" s="13" t="s">
        <v>20</v>
      </c>
      <c r="M39" s="13" t="s">
        <v>20</v>
      </c>
      <c r="N39" s="179">
        <v>43922</v>
      </c>
      <c r="O39" s="16">
        <v>45383</v>
      </c>
      <c r="P39" s="13">
        <v>3882251.56</v>
      </c>
      <c r="Q39" s="222" t="e">
        <v>#VALUE!</v>
      </c>
    </row>
    <row r="40" spans="1:17" x14ac:dyDescent="0.2">
      <c r="A40" s="4" t="s">
        <v>61</v>
      </c>
      <c r="B40" s="13">
        <v>1085275104.5</v>
      </c>
      <c r="C40" s="13">
        <v>1027416744.33</v>
      </c>
      <c r="D40" s="13">
        <v>57858360.169999957</v>
      </c>
      <c r="E40" s="13">
        <v>21049053.329999998</v>
      </c>
      <c r="F40" s="13">
        <v>22858857</v>
      </c>
      <c r="G40" s="14">
        <v>2.5299999999999998</v>
      </c>
      <c r="H40" s="14">
        <v>0.92</v>
      </c>
      <c r="I40" s="13">
        <v>1754087.7774999999</v>
      </c>
      <c r="J40" s="15">
        <v>0</v>
      </c>
      <c r="K40" s="13">
        <v>57858360.169999957</v>
      </c>
      <c r="L40" s="13" t="s">
        <v>20</v>
      </c>
      <c r="M40" s="13" t="s">
        <v>20</v>
      </c>
      <c r="N40" s="179">
        <v>43556</v>
      </c>
      <c r="O40" s="16">
        <v>45383</v>
      </c>
      <c r="P40" s="13">
        <v>2011971.74</v>
      </c>
      <c r="Q40" s="222" t="e">
        <v>#VALUE!</v>
      </c>
    </row>
    <row r="41" spans="1:17" x14ac:dyDescent="0.2">
      <c r="A41" s="4" t="s">
        <v>59</v>
      </c>
      <c r="B41" s="13">
        <v>277600986</v>
      </c>
      <c r="C41" s="13">
        <v>259129177.59</v>
      </c>
      <c r="D41" s="13">
        <v>18471808.409999996</v>
      </c>
      <c r="E41" s="13">
        <v>7327907.1100000003</v>
      </c>
      <c r="F41" s="13">
        <v>7461397</v>
      </c>
      <c r="G41" s="14">
        <v>2.48</v>
      </c>
      <c r="H41" s="14">
        <v>0.98</v>
      </c>
      <c r="I41" s="13">
        <v>610658.9258333334</v>
      </c>
      <c r="J41" s="15">
        <v>2</v>
      </c>
      <c r="K41" s="13">
        <v>17250490.55833333</v>
      </c>
      <c r="L41" s="13">
        <v>1774507.2049999982</v>
      </c>
      <c r="M41" s="13" t="s">
        <v>42</v>
      </c>
      <c r="N41" s="179">
        <v>43647</v>
      </c>
      <c r="O41" s="16">
        <v>45474</v>
      </c>
      <c r="P41" s="13">
        <v>1168954</v>
      </c>
      <c r="Q41" s="222" t="e">
        <v>#VALUE!</v>
      </c>
    </row>
    <row r="42" spans="1:17" x14ac:dyDescent="0.2">
      <c r="A42" s="4" t="s">
        <v>63</v>
      </c>
      <c r="B42" s="13">
        <v>1309738768.5599999</v>
      </c>
      <c r="C42" s="13">
        <v>1234374680.6700001</v>
      </c>
      <c r="D42" s="13">
        <v>75364087.889999866</v>
      </c>
      <c r="E42" s="13">
        <v>26461959.699999999</v>
      </c>
      <c r="F42" s="13">
        <v>30738746</v>
      </c>
      <c r="G42" s="14">
        <v>2.4500000000000002</v>
      </c>
      <c r="H42" s="14">
        <v>0.86</v>
      </c>
      <c r="I42" s="13">
        <v>2205163.3083333331</v>
      </c>
      <c r="J42" s="15">
        <v>2</v>
      </c>
      <c r="K42" s="13">
        <v>70953761.273333207</v>
      </c>
      <c r="L42" s="13">
        <v>6943297.9449999332</v>
      </c>
      <c r="M42" s="13" t="s">
        <v>42</v>
      </c>
      <c r="N42" s="179">
        <v>43647</v>
      </c>
      <c r="O42" s="16">
        <v>45474</v>
      </c>
      <c r="P42" s="13">
        <v>3062117.22</v>
      </c>
      <c r="Q42" s="222" t="e">
        <v>#VALUE!</v>
      </c>
    </row>
    <row r="43" spans="1:17" x14ac:dyDescent="0.2">
      <c r="A43" s="4" t="s">
        <v>58</v>
      </c>
      <c r="B43" s="13">
        <v>1205115490</v>
      </c>
      <c r="C43" s="13">
        <v>1150999911.23</v>
      </c>
      <c r="D43" s="13">
        <v>54115578.769999981</v>
      </c>
      <c r="E43" s="13">
        <v>25455712.649999999</v>
      </c>
      <c r="F43" s="13">
        <v>22499042</v>
      </c>
      <c r="G43" s="14">
        <v>2.41</v>
      </c>
      <c r="H43" s="14">
        <v>1.1299999999999999</v>
      </c>
      <c r="I43" s="13">
        <v>2121309.3874999997</v>
      </c>
      <c r="J43" s="15">
        <v>0</v>
      </c>
      <c r="K43" s="13">
        <v>54115578.769999981</v>
      </c>
      <c r="L43" s="13" t="s">
        <v>20</v>
      </c>
      <c r="M43" s="13" t="s">
        <v>42</v>
      </c>
      <c r="N43" s="179">
        <v>43922</v>
      </c>
      <c r="O43" s="16">
        <v>45383</v>
      </c>
      <c r="P43" s="13">
        <v>2492517.75</v>
      </c>
      <c r="Q43" s="222" t="e">
        <v>#VALUE!</v>
      </c>
    </row>
    <row r="44" spans="1:17" x14ac:dyDescent="0.2">
      <c r="A44" s="4" t="s">
        <v>60</v>
      </c>
      <c r="B44" s="13">
        <v>342887810.45999998</v>
      </c>
      <c r="C44" s="13">
        <v>323464415.5</v>
      </c>
      <c r="D44" s="13">
        <v>19423394.959999979</v>
      </c>
      <c r="E44" s="13">
        <v>8394195.7300000004</v>
      </c>
      <c r="F44" s="13">
        <v>8236180</v>
      </c>
      <c r="G44" s="14">
        <v>2.36</v>
      </c>
      <c r="H44" s="14">
        <v>1.02</v>
      </c>
      <c r="I44" s="13">
        <v>699516.31083333341</v>
      </c>
      <c r="J44" s="15">
        <v>0</v>
      </c>
      <c r="K44" s="13">
        <v>19423394.959999979</v>
      </c>
      <c r="L44" s="13" t="s">
        <v>20</v>
      </c>
      <c r="M44" s="13" t="s">
        <v>42</v>
      </c>
      <c r="N44" s="179">
        <v>43556</v>
      </c>
      <c r="O44" s="16">
        <v>45383</v>
      </c>
      <c r="P44" s="13">
        <v>590407.41</v>
      </c>
      <c r="Q44" s="222" t="e">
        <v>#VALUE!</v>
      </c>
    </row>
    <row r="45" spans="1:17" x14ac:dyDescent="0.2">
      <c r="A45" s="4" t="s">
        <v>57</v>
      </c>
      <c r="B45" s="13">
        <v>98701064</v>
      </c>
      <c r="C45" s="13">
        <v>92507438.599999994</v>
      </c>
      <c r="D45" s="13">
        <v>6193625.400000006</v>
      </c>
      <c r="E45" s="13">
        <v>4832857.0599999996</v>
      </c>
      <c r="F45" s="13">
        <v>2898567</v>
      </c>
      <c r="G45" s="14">
        <v>2.14</v>
      </c>
      <c r="H45" s="14">
        <v>1.67</v>
      </c>
      <c r="I45" s="13">
        <v>402738.08833333332</v>
      </c>
      <c r="J45" s="15">
        <v>2</v>
      </c>
      <c r="K45" s="13">
        <v>5388149.2233333392</v>
      </c>
      <c r="L45" s="13" t="s">
        <v>42</v>
      </c>
      <c r="M45" s="13" t="s">
        <v>42</v>
      </c>
      <c r="N45" s="179">
        <v>43647</v>
      </c>
      <c r="O45" s="16">
        <v>45474</v>
      </c>
      <c r="P45" s="13">
        <v>174182.79</v>
      </c>
      <c r="Q45" s="222" t="e">
        <v>#VALUE!</v>
      </c>
    </row>
    <row r="46" spans="1:17" x14ac:dyDescent="0.2">
      <c r="A46" s="4" t="s">
        <v>62</v>
      </c>
      <c r="B46" s="13">
        <v>685388676.61000001</v>
      </c>
      <c r="C46" s="13">
        <v>656274778.53999996</v>
      </c>
      <c r="D46" s="13">
        <v>29113898.070000052</v>
      </c>
      <c r="E46" s="13">
        <v>16769896.380000001</v>
      </c>
      <c r="F46" s="13">
        <v>13963452</v>
      </c>
      <c r="G46" s="14">
        <v>2.09</v>
      </c>
      <c r="H46" s="14">
        <v>1.2</v>
      </c>
      <c r="I46" s="13">
        <v>1397491.365</v>
      </c>
      <c r="J46" s="15">
        <v>0</v>
      </c>
      <c r="K46" s="13">
        <v>29113898.070000052</v>
      </c>
      <c r="L46" s="13" t="s">
        <v>20</v>
      </c>
      <c r="M46" s="13" t="s">
        <v>42</v>
      </c>
      <c r="N46" s="179">
        <v>43922</v>
      </c>
      <c r="O46" s="16">
        <v>45383</v>
      </c>
      <c r="P46" s="13">
        <v>1625749.19</v>
      </c>
      <c r="Q46" s="222" t="e">
        <v>#VALUE!</v>
      </c>
    </row>
    <row r="47" spans="1:17" x14ac:dyDescent="0.2">
      <c r="A47" s="4" t="s">
        <v>66</v>
      </c>
      <c r="B47" s="13">
        <v>1940110596.77</v>
      </c>
      <c r="C47" s="13">
        <v>1845467370.6400001</v>
      </c>
      <c r="D47" s="13">
        <v>94643226.129999876</v>
      </c>
      <c r="E47" s="13">
        <v>41025768.530000001</v>
      </c>
      <c r="F47" s="13">
        <v>45492764</v>
      </c>
      <c r="G47" s="14">
        <v>2.08</v>
      </c>
      <c r="H47" s="14">
        <v>0.9</v>
      </c>
      <c r="I47" s="13">
        <v>3418814.0441666669</v>
      </c>
      <c r="J47" s="15">
        <v>2</v>
      </c>
      <c r="K47" s="13">
        <v>87805598.041666538</v>
      </c>
      <c r="L47" s="13" t="s">
        <v>42</v>
      </c>
      <c r="M47" s="13" t="s">
        <v>42</v>
      </c>
      <c r="N47" s="179">
        <v>43647</v>
      </c>
      <c r="O47" s="16">
        <v>45474</v>
      </c>
      <c r="P47" s="13">
        <v>3503685.53</v>
      </c>
      <c r="Q47" s="222" t="e">
        <v>#VALUE!</v>
      </c>
    </row>
    <row r="48" spans="1:17" x14ac:dyDescent="0.2">
      <c r="A48" s="4" t="s">
        <v>65</v>
      </c>
      <c r="B48" s="13">
        <v>389160034</v>
      </c>
      <c r="C48" s="13">
        <v>369320220.75999999</v>
      </c>
      <c r="D48" s="13">
        <v>19839813.24000001</v>
      </c>
      <c r="E48" s="13">
        <v>10313650.800000001</v>
      </c>
      <c r="F48" s="13">
        <v>10126728</v>
      </c>
      <c r="G48" s="14">
        <v>1.96</v>
      </c>
      <c r="H48" s="14">
        <v>1.02</v>
      </c>
      <c r="I48" s="13">
        <v>859470.9</v>
      </c>
      <c r="J48" s="15">
        <v>2</v>
      </c>
      <c r="K48" s="13">
        <v>18120871.440000009</v>
      </c>
      <c r="L48" s="13" t="s">
        <v>42</v>
      </c>
      <c r="M48" s="13" t="s">
        <v>42</v>
      </c>
      <c r="N48" s="179">
        <v>43647</v>
      </c>
      <c r="O48" s="16">
        <v>45474</v>
      </c>
      <c r="P48" s="13">
        <v>1610157.44</v>
      </c>
      <c r="Q48" s="222" t="e">
        <v>#VALUE!</v>
      </c>
    </row>
    <row r="49" spans="1:17" x14ac:dyDescent="0.2">
      <c r="A49" s="4" t="s">
        <v>68</v>
      </c>
      <c r="B49" s="13">
        <v>497245980</v>
      </c>
      <c r="C49" s="13">
        <v>474381023.50999999</v>
      </c>
      <c r="D49" s="13">
        <v>22864956.49000001</v>
      </c>
      <c r="E49" s="13">
        <v>12360104</v>
      </c>
      <c r="F49" s="13">
        <v>11808636</v>
      </c>
      <c r="G49" s="14">
        <v>1.94</v>
      </c>
      <c r="H49" s="14">
        <v>1.05</v>
      </c>
      <c r="I49" s="13">
        <v>1030008.6666666666</v>
      </c>
      <c r="J49" s="15">
        <v>8</v>
      </c>
      <c r="K49" s="13">
        <v>14624887.156666677</v>
      </c>
      <c r="L49" s="13" t="s">
        <v>42</v>
      </c>
      <c r="M49" s="13" t="s">
        <v>42</v>
      </c>
      <c r="N49" s="179">
        <v>43831</v>
      </c>
      <c r="O49" s="16">
        <v>45658</v>
      </c>
      <c r="P49" s="13">
        <v>299573.27</v>
      </c>
      <c r="Q49" s="222" t="e">
        <v>#VALUE!</v>
      </c>
    </row>
    <row r="50" spans="1:17" x14ac:dyDescent="0.2">
      <c r="A50" s="4" t="s">
        <v>67</v>
      </c>
      <c r="B50" s="13">
        <v>1082941284</v>
      </c>
      <c r="C50" s="13">
        <v>1031882576.62</v>
      </c>
      <c r="D50" s="13">
        <v>51058707.379999995</v>
      </c>
      <c r="E50" s="13">
        <v>29750947.129999999</v>
      </c>
      <c r="F50" s="13">
        <v>27168342</v>
      </c>
      <c r="G50" s="14">
        <v>1.88</v>
      </c>
      <c r="H50" s="14">
        <v>1.1000000000000001</v>
      </c>
      <c r="I50" s="13">
        <v>2479245.5941666667</v>
      </c>
      <c r="J50" s="15">
        <v>0</v>
      </c>
      <c r="K50" s="13">
        <v>51058707.379999995</v>
      </c>
      <c r="L50" s="13" t="s">
        <v>42</v>
      </c>
      <c r="M50" s="13" t="s">
        <v>42</v>
      </c>
      <c r="N50" s="179">
        <v>43922</v>
      </c>
      <c r="O50" s="16">
        <v>45383</v>
      </c>
      <c r="P50" s="13">
        <v>1757168.72</v>
      </c>
      <c r="Q50" s="222" t="e">
        <v>#VALUE!</v>
      </c>
    </row>
    <row r="51" spans="1:17" x14ac:dyDescent="0.2">
      <c r="A51" s="4" t="s">
        <v>69</v>
      </c>
      <c r="B51" s="13">
        <v>238203233</v>
      </c>
      <c r="C51" s="13">
        <v>229257629.41</v>
      </c>
      <c r="D51" s="13">
        <v>8945603.5900000036</v>
      </c>
      <c r="E51" s="13">
        <v>4844119.24</v>
      </c>
      <c r="F51" s="13">
        <v>5501208</v>
      </c>
      <c r="G51" s="14">
        <v>1.63</v>
      </c>
      <c r="H51" s="14">
        <v>0.88</v>
      </c>
      <c r="I51" s="13">
        <v>403676.60333333333</v>
      </c>
      <c r="J51" s="15">
        <v>2</v>
      </c>
      <c r="K51" s="13">
        <v>8138250.3833333366</v>
      </c>
      <c r="L51" s="13" t="s">
        <v>42</v>
      </c>
      <c r="M51" s="13" t="s">
        <v>42</v>
      </c>
      <c r="N51" s="179">
        <v>43647</v>
      </c>
      <c r="O51" s="16">
        <v>45474</v>
      </c>
      <c r="P51" s="13">
        <v>1131552.3799999999</v>
      </c>
      <c r="Q51" s="222" t="e">
        <v>#VALUE!</v>
      </c>
    </row>
    <row r="52" spans="1:17" x14ac:dyDescent="0.2">
      <c r="A52" s="4" t="s">
        <v>70</v>
      </c>
      <c r="B52" s="13">
        <v>75470621</v>
      </c>
      <c r="C52" s="13">
        <v>71819704</v>
      </c>
      <c r="D52" s="18">
        <v>3650917</v>
      </c>
      <c r="E52" s="13">
        <v>2121500.7799999998</v>
      </c>
      <c r="F52" s="13">
        <v>2752623</v>
      </c>
      <c r="G52" s="14">
        <v>1.33</v>
      </c>
      <c r="H52" s="14">
        <v>0.77</v>
      </c>
      <c r="I52" s="18">
        <v>176791.73166666666</v>
      </c>
      <c r="J52" s="15">
        <v>2</v>
      </c>
      <c r="K52" s="18">
        <v>3297333.5366666666</v>
      </c>
      <c r="L52" s="18" t="s">
        <v>42</v>
      </c>
      <c r="M52" s="18" t="s">
        <v>42</v>
      </c>
      <c r="N52" s="180">
        <v>43647</v>
      </c>
      <c r="O52" s="16">
        <v>45474</v>
      </c>
      <c r="P52" s="13">
        <v>67718.039999999994</v>
      </c>
      <c r="Q52" s="222" t="e">
        <v>#VALUE!</v>
      </c>
    </row>
    <row r="53" spans="1:17" x14ac:dyDescent="0.25">
      <c r="A53" s="34" t="s">
        <v>71</v>
      </c>
      <c r="B53" s="31">
        <v>43056918036.709999</v>
      </c>
      <c r="C53" s="13">
        <v>39760655528.980003</v>
      </c>
      <c r="D53" s="31">
        <v>3296262507.7299957</v>
      </c>
      <c r="E53" s="13">
        <v>943824017.27999997</v>
      </c>
      <c r="F53" s="13">
        <v>981907757</v>
      </c>
      <c r="G53" s="14">
        <v>3.36</v>
      </c>
      <c r="H53" s="14">
        <v>0.96</v>
      </c>
      <c r="I53" s="31">
        <v>78652001.439999998</v>
      </c>
      <c r="J53" s="32"/>
      <c r="K53" s="33"/>
      <c r="L53" s="33"/>
      <c r="M53" s="33"/>
      <c r="N53" s="33"/>
      <c r="O53" s="33"/>
      <c r="P53" s="31">
        <v>68336248.150000021</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38</v>
      </c>
      <c r="H56" s="25"/>
    </row>
    <row r="57" spans="1:17" ht="27" customHeight="1" thickBot="1" x14ac:dyDescent="0.3">
      <c r="D57" s="228" t="s">
        <v>73</v>
      </c>
      <c r="E57" s="229"/>
      <c r="F57" s="229"/>
      <c r="G57" s="27"/>
      <c r="H57" s="28">
        <v>28</v>
      </c>
    </row>
  </sheetData>
  <mergeCells count="2">
    <mergeCell ref="D56:F56"/>
    <mergeCell ref="D57:F57"/>
  </mergeCells>
  <conditionalFormatting sqref="G54">
    <cfRule type="cellIs" dxfId="279" priority="13" stopIfTrue="1" operator="greaterThan">
      <formula>2.5</formula>
    </cfRule>
    <cfRule type="cellIs" dxfId="278" priority="14" stopIfTrue="1" operator="between">
      <formula>2.01</formula>
      <formula>2.5</formula>
    </cfRule>
  </conditionalFormatting>
  <conditionalFormatting sqref="H3:H53">
    <cfRule type="cellIs" dxfId="277" priority="12" stopIfTrue="1" operator="lessThan">
      <formula>1</formula>
    </cfRule>
  </conditionalFormatting>
  <conditionalFormatting sqref="G3:G53">
    <cfRule type="cellIs" dxfId="276" priority="10" stopIfTrue="1" operator="greaterThan">
      <formula>2.5</formula>
    </cfRule>
    <cfRule type="cellIs" dxfId="275" priority="11" stopIfTrue="1" operator="between">
      <formula>2.01</formula>
      <formula>2.5</formula>
    </cfRule>
  </conditionalFormatting>
  <conditionalFormatting sqref="K3:K52">
    <cfRule type="cellIs" dxfId="274" priority="8" stopIfTrue="1" operator="greaterThan">
      <formula>$F3*2.5</formula>
    </cfRule>
    <cfRule type="cellIs" dxfId="273" priority="9" stopIfTrue="1" operator="between">
      <formula>$F3*2</formula>
      <formula>$F3*2.5</formula>
    </cfRule>
  </conditionalFormatting>
  <conditionalFormatting sqref="G54">
    <cfRule type="cellIs" dxfId="272" priority="6" stopIfTrue="1" operator="greaterThan">
      <formula>2.5</formula>
    </cfRule>
    <cfRule type="cellIs" dxfId="271" priority="7" stopIfTrue="1" operator="between">
      <formula>2.01</formula>
      <formula>2.5</formula>
    </cfRule>
  </conditionalFormatting>
  <conditionalFormatting sqref="H3:H53">
    <cfRule type="cellIs" dxfId="270" priority="5" stopIfTrue="1" operator="lessThan">
      <formula>1</formula>
    </cfRule>
  </conditionalFormatting>
  <conditionalFormatting sqref="G3:G53">
    <cfRule type="cellIs" dxfId="269" priority="3" stopIfTrue="1" operator="greaterThan">
      <formula>2.5</formula>
    </cfRule>
    <cfRule type="cellIs" dxfId="268" priority="4" stopIfTrue="1" operator="between">
      <formula>2.01</formula>
      <formula>2.5</formula>
    </cfRule>
  </conditionalFormatting>
  <conditionalFormatting sqref="K3:K52">
    <cfRule type="cellIs" dxfId="267" priority="1" stopIfTrue="1" operator="greaterThan">
      <formula>$F3*2.5</formula>
    </cfRule>
    <cfRule type="cellIs" dxfId="266"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283B2-49F4-4CBF-8348-4A0616728640}">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94</v>
      </c>
      <c r="B1" s="178" t="s">
        <v>95</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985330771.10000002</v>
      </c>
      <c r="D3" s="13">
        <v>154645166.35000002</v>
      </c>
      <c r="E3" s="13">
        <v>12555135.66</v>
      </c>
      <c r="F3" s="13">
        <v>24778539</v>
      </c>
      <c r="G3" s="14">
        <v>6.24</v>
      </c>
      <c r="H3" s="14">
        <v>0.51</v>
      </c>
      <c r="I3" s="13">
        <v>1046261.3050000001</v>
      </c>
      <c r="J3" s="15">
        <v>1</v>
      </c>
      <c r="K3" s="13">
        <v>153598905.04500002</v>
      </c>
      <c r="L3" s="13">
        <v>105088088.35000002</v>
      </c>
      <c r="M3" s="13">
        <v>92698818.850000024</v>
      </c>
      <c r="N3" s="179">
        <v>43647</v>
      </c>
      <c r="O3" s="16">
        <v>45474</v>
      </c>
      <c r="P3" s="13">
        <v>252507.44</v>
      </c>
      <c r="Q3" s="223" t="e">
        <v>#VALUE!</v>
      </c>
    </row>
    <row r="4" spans="1:17" x14ac:dyDescent="0.2">
      <c r="A4" s="4" t="s">
        <v>22</v>
      </c>
      <c r="B4" s="13">
        <v>708696383.32000005</v>
      </c>
      <c r="C4" s="13">
        <v>635002282.17999995</v>
      </c>
      <c r="D4" s="13">
        <v>73694101.140000105</v>
      </c>
      <c r="E4" s="13">
        <v>13361474.449999999</v>
      </c>
      <c r="F4" s="13">
        <v>13833071</v>
      </c>
      <c r="G4" s="14">
        <v>5.33</v>
      </c>
      <c r="H4" s="14">
        <v>0.97</v>
      </c>
      <c r="I4" s="13">
        <v>1113456.2041666666</v>
      </c>
      <c r="J4" s="15">
        <v>1</v>
      </c>
      <c r="K4" s="13">
        <v>72580644.935833439</v>
      </c>
      <c r="L4" s="13">
        <v>46027959.140000105</v>
      </c>
      <c r="M4" s="13">
        <v>39111423.640000105</v>
      </c>
      <c r="N4" s="179">
        <v>43647</v>
      </c>
      <c r="O4" s="16">
        <v>45474</v>
      </c>
      <c r="P4" s="13">
        <v>2192502.15</v>
      </c>
      <c r="Q4" s="222" t="e">
        <v>#VALUE!</v>
      </c>
    </row>
    <row r="5" spans="1:17" x14ac:dyDescent="0.2">
      <c r="A5" s="4" t="s">
        <v>21</v>
      </c>
      <c r="B5" s="13">
        <v>1788595890.3599999</v>
      </c>
      <c r="C5" s="13">
        <v>1542312922.28</v>
      </c>
      <c r="D5" s="13">
        <v>246282968.07999992</v>
      </c>
      <c r="E5" s="13">
        <v>39641687.979999997</v>
      </c>
      <c r="F5" s="13">
        <v>46272979</v>
      </c>
      <c r="G5" s="14">
        <v>5.32</v>
      </c>
      <c r="H5" s="14">
        <v>0.86</v>
      </c>
      <c r="I5" s="13">
        <v>3303473.9983333331</v>
      </c>
      <c r="J5" s="15">
        <v>7</v>
      </c>
      <c r="K5" s="13">
        <v>223158650.09166658</v>
      </c>
      <c r="L5" s="13">
        <v>21962430.011428561</v>
      </c>
      <c r="M5" s="13">
        <v>18657217.225714274</v>
      </c>
      <c r="N5" s="179">
        <v>43831</v>
      </c>
      <c r="O5" s="16">
        <v>45658</v>
      </c>
      <c r="P5" s="13">
        <v>6204178.1299999999</v>
      </c>
      <c r="Q5" s="222" t="e">
        <v>#VALUE!</v>
      </c>
    </row>
    <row r="6" spans="1:17" x14ac:dyDescent="0.2">
      <c r="A6" s="4" t="s">
        <v>24</v>
      </c>
      <c r="B6" s="13">
        <v>1469242870.97</v>
      </c>
      <c r="C6" s="13">
        <v>1295937448.8</v>
      </c>
      <c r="D6" s="13">
        <v>173305422.17000008</v>
      </c>
      <c r="E6" s="13">
        <v>18515624.079999998</v>
      </c>
      <c r="F6" s="13">
        <v>33073641</v>
      </c>
      <c r="G6" s="14">
        <v>5.24</v>
      </c>
      <c r="H6" s="14">
        <v>0.56000000000000005</v>
      </c>
      <c r="I6" s="13">
        <v>1542968.6733333331</v>
      </c>
      <c r="J6" s="15">
        <v>1</v>
      </c>
      <c r="K6" s="13">
        <v>171762453.49666673</v>
      </c>
      <c r="L6" s="13">
        <v>107158140.17000008</v>
      </c>
      <c r="M6" s="13">
        <v>90621319.670000076</v>
      </c>
      <c r="N6" s="179">
        <v>43647</v>
      </c>
      <c r="O6" s="16">
        <v>45474</v>
      </c>
      <c r="P6" s="13">
        <v>397770.83</v>
      </c>
      <c r="Q6" s="222" t="e">
        <v>#VALUE!</v>
      </c>
    </row>
    <row r="7" spans="1:17" x14ac:dyDescent="0.2">
      <c r="A7" s="4" t="s">
        <v>23</v>
      </c>
      <c r="B7" s="13">
        <v>1336273473.74</v>
      </c>
      <c r="C7" s="13">
        <v>1189683993.0899999</v>
      </c>
      <c r="D7" s="13">
        <v>146589480.6500001</v>
      </c>
      <c r="E7" s="13">
        <v>18425249.149999999</v>
      </c>
      <c r="F7" s="13">
        <v>29074134</v>
      </c>
      <c r="G7" s="14">
        <v>5.04</v>
      </c>
      <c r="H7" s="14">
        <v>0.63</v>
      </c>
      <c r="I7" s="13">
        <v>1535437.4291666665</v>
      </c>
      <c r="J7" s="15">
        <v>7</v>
      </c>
      <c r="K7" s="13">
        <v>135841418.64583343</v>
      </c>
      <c r="L7" s="13">
        <v>12634458.950000014</v>
      </c>
      <c r="M7" s="13">
        <v>10557735.092857156</v>
      </c>
      <c r="N7" s="179">
        <v>43831</v>
      </c>
      <c r="O7" s="16">
        <v>45658</v>
      </c>
      <c r="P7" s="13">
        <v>974918.89</v>
      </c>
      <c r="Q7" s="222" t="e">
        <v>#VALUE!</v>
      </c>
    </row>
    <row r="8" spans="1:17" x14ac:dyDescent="0.2">
      <c r="A8" s="4" t="s">
        <v>26</v>
      </c>
      <c r="B8" s="13">
        <v>120899760.39</v>
      </c>
      <c r="C8" s="13">
        <v>104445062.28</v>
      </c>
      <c r="D8" s="13">
        <v>16454698.109999999</v>
      </c>
      <c r="E8" s="13">
        <v>1773705.59</v>
      </c>
      <c r="F8" s="13">
        <v>3521015</v>
      </c>
      <c r="G8" s="14">
        <v>4.67</v>
      </c>
      <c r="H8" s="14">
        <v>0.5</v>
      </c>
      <c r="I8" s="13">
        <v>147808.79916666666</v>
      </c>
      <c r="J8" s="15">
        <v>7</v>
      </c>
      <c r="K8" s="13">
        <v>15420036.515833333</v>
      </c>
      <c r="L8" s="13">
        <v>1344666.8728571427</v>
      </c>
      <c r="M8" s="13">
        <v>1093165.8014285713</v>
      </c>
      <c r="N8" s="179">
        <v>43831</v>
      </c>
      <c r="O8" s="16">
        <v>45658</v>
      </c>
      <c r="P8" s="13">
        <v>24831.85</v>
      </c>
      <c r="Q8" s="222" t="e">
        <v>#VALUE!</v>
      </c>
    </row>
    <row r="9" spans="1:17" x14ac:dyDescent="0.2">
      <c r="A9" s="4" t="s">
        <v>31</v>
      </c>
      <c r="B9" s="13">
        <v>493558716</v>
      </c>
      <c r="C9" s="13">
        <v>447115117.83999997</v>
      </c>
      <c r="D9" s="13">
        <v>46443598.160000026</v>
      </c>
      <c r="E9" s="13">
        <v>8332854.1900000004</v>
      </c>
      <c r="F9" s="13">
        <v>11038481</v>
      </c>
      <c r="G9" s="14">
        <v>4.21</v>
      </c>
      <c r="H9" s="14">
        <v>0.75</v>
      </c>
      <c r="I9" s="13">
        <v>694404.51583333337</v>
      </c>
      <c r="J9" s="15">
        <v>7</v>
      </c>
      <c r="K9" s="13">
        <v>41582766.549166694</v>
      </c>
      <c r="L9" s="13">
        <v>3480948.0228571468</v>
      </c>
      <c r="M9" s="13">
        <v>2692485.0942857182</v>
      </c>
      <c r="N9" s="179">
        <v>43831</v>
      </c>
      <c r="O9" s="16">
        <v>45658</v>
      </c>
      <c r="P9" s="13">
        <v>1377314.19</v>
      </c>
      <c r="Q9" s="222" t="e">
        <v>#VALUE!</v>
      </c>
    </row>
    <row r="10" spans="1:17" x14ac:dyDescent="0.2">
      <c r="A10" s="4" t="s">
        <v>40</v>
      </c>
      <c r="B10" s="13">
        <v>203184695.25999999</v>
      </c>
      <c r="C10" s="13">
        <v>179764529.81999999</v>
      </c>
      <c r="D10" s="13">
        <v>23420165.439999998</v>
      </c>
      <c r="E10" s="13">
        <v>5843312.4900000002</v>
      </c>
      <c r="F10" s="13">
        <v>5655134</v>
      </c>
      <c r="G10" s="14">
        <v>4.1399999999999997</v>
      </c>
      <c r="H10" s="14">
        <v>1.03</v>
      </c>
      <c r="I10" s="13">
        <v>486942.70750000002</v>
      </c>
      <c r="J10" s="15">
        <v>1</v>
      </c>
      <c r="K10" s="13">
        <v>22933222.732499998</v>
      </c>
      <c r="L10" s="13">
        <v>12109897.439999998</v>
      </c>
      <c r="M10" s="13">
        <v>9282330.4399999976</v>
      </c>
      <c r="N10" s="179">
        <v>43647</v>
      </c>
      <c r="O10" s="16">
        <v>45474</v>
      </c>
      <c r="P10" s="13">
        <v>109269.6</v>
      </c>
      <c r="Q10" s="222" t="e">
        <v>#VALUE!</v>
      </c>
    </row>
    <row r="11" spans="1:17" x14ac:dyDescent="0.2">
      <c r="A11" s="4" t="s">
        <v>25</v>
      </c>
      <c r="B11" s="13">
        <v>265120500</v>
      </c>
      <c r="C11" s="13">
        <v>239771345.74000001</v>
      </c>
      <c r="D11" s="13">
        <v>25349154.25999999</v>
      </c>
      <c r="E11" s="13">
        <v>8536086.4299999997</v>
      </c>
      <c r="F11" s="13">
        <v>6172506</v>
      </c>
      <c r="G11" s="14">
        <v>4.1100000000000003</v>
      </c>
      <c r="H11" s="14">
        <v>1.38</v>
      </c>
      <c r="I11" s="13">
        <v>711340.53583333327</v>
      </c>
      <c r="J11" s="15">
        <v>0</v>
      </c>
      <c r="K11" s="13">
        <v>25349154.25999999</v>
      </c>
      <c r="L11" s="13" t="s">
        <v>20</v>
      </c>
      <c r="M11" s="13" t="s">
        <v>20</v>
      </c>
      <c r="N11" s="179">
        <v>43922</v>
      </c>
      <c r="O11" s="16">
        <v>45383</v>
      </c>
      <c r="P11" s="13">
        <v>305055.44</v>
      </c>
      <c r="Q11" s="222" t="e">
        <v>#VALUE!</v>
      </c>
    </row>
    <row r="12" spans="1:17" x14ac:dyDescent="0.2">
      <c r="A12" s="4" t="s">
        <v>27</v>
      </c>
      <c r="B12" s="13">
        <v>853256279</v>
      </c>
      <c r="C12" s="13">
        <v>775958768.50999999</v>
      </c>
      <c r="D12" s="13">
        <v>77297510.49000001</v>
      </c>
      <c r="E12" s="13">
        <v>18506978.829999998</v>
      </c>
      <c r="F12" s="13">
        <v>18836467</v>
      </c>
      <c r="G12" s="14">
        <v>4.0999999999999996</v>
      </c>
      <c r="H12" s="14">
        <v>0.98</v>
      </c>
      <c r="I12" s="13">
        <v>1542248.2358333331</v>
      </c>
      <c r="J12" s="15">
        <v>4</v>
      </c>
      <c r="K12" s="13">
        <v>71128517.546666682</v>
      </c>
      <c r="L12" s="13">
        <v>9906144.1225000024</v>
      </c>
      <c r="M12" s="13">
        <v>7551585.7475000024</v>
      </c>
      <c r="N12" s="179">
        <v>43739</v>
      </c>
      <c r="O12" s="16">
        <v>45566</v>
      </c>
      <c r="P12" s="13">
        <v>1198287.8799999999</v>
      </c>
      <c r="Q12" s="222" t="e">
        <v>#VALUE!</v>
      </c>
    </row>
    <row r="13" spans="1:17" x14ac:dyDescent="0.2">
      <c r="A13" s="4" t="s">
        <v>28</v>
      </c>
      <c r="B13" s="13">
        <v>1945106991</v>
      </c>
      <c r="C13" s="13">
        <v>1854699030.27</v>
      </c>
      <c r="D13" s="13">
        <v>90407960.730000019</v>
      </c>
      <c r="E13" s="13">
        <v>20461044.809999999</v>
      </c>
      <c r="F13" s="13">
        <v>22131554</v>
      </c>
      <c r="G13" s="14">
        <v>4.09</v>
      </c>
      <c r="H13" s="14">
        <v>0.92</v>
      </c>
      <c r="I13" s="13">
        <v>1705087.0674999999</v>
      </c>
      <c r="J13" s="15">
        <v>1</v>
      </c>
      <c r="K13" s="13">
        <v>88702873.662500024</v>
      </c>
      <c r="L13" s="13">
        <v>46144852.730000019</v>
      </c>
      <c r="M13" s="13">
        <v>35079075.730000019</v>
      </c>
      <c r="N13" s="179">
        <v>43647</v>
      </c>
      <c r="O13" s="16">
        <v>45474</v>
      </c>
      <c r="P13" s="13">
        <v>1126476.48</v>
      </c>
      <c r="Q13" s="222" t="e">
        <v>#VALUE!</v>
      </c>
    </row>
    <row r="14" spans="1:17" x14ac:dyDescent="0.2">
      <c r="A14" s="4" t="s">
        <v>37</v>
      </c>
      <c r="B14" s="13">
        <v>187480557</v>
      </c>
      <c r="C14" s="13">
        <v>173244238.41</v>
      </c>
      <c r="D14" s="13">
        <v>14236318.590000004</v>
      </c>
      <c r="E14" s="13">
        <v>2906394.26</v>
      </c>
      <c r="F14" s="13">
        <v>3515583</v>
      </c>
      <c r="G14" s="14">
        <v>4.05</v>
      </c>
      <c r="H14" s="14">
        <v>0.83</v>
      </c>
      <c r="I14" s="13">
        <v>242199.52166666664</v>
      </c>
      <c r="J14" s="15">
        <v>1</v>
      </c>
      <c r="K14" s="13">
        <v>13994119.068333337</v>
      </c>
      <c r="L14" s="13">
        <v>7205152.5900000036</v>
      </c>
      <c r="M14" s="13">
        <v>5447361.0900000036</v>
      </c>
      <c r="N14" s="179">
        <v>43647</v>
      </c>
      <c r="O14" s="16">
        <v>45474</v>
      </c>
      <c r="P14" s="13">
        <v>0</v>
      </c>
      <c r="Q14" s="222" t="e">
        <v>#VALUE!</v>
      </c>
    </row>
    <row r="15" spans="1:17" x14ac:dyDescent="0.2">
      <c r="A15" s="4" t="s">
        <v>32</v>
      </c>
      <c r="B15" s="13">
        <v>1168142277.4400001</v>
      </c>
      <c r="C15" s="13">
        <v>1063925749.79</v>
      </c>
      <c r="D15" s="13">
        <v>104216527.6500001</v>
      </c>
      <c r="E15" s="13">
        <v>20303999.800000001</v>
      </c>
      <c r="F15" s="13">
        <v>26355588</v>
      </c>
      <c r="G15" s="14">
        <v>3.95</v>
      </c>
      <c r="H15" s="14">
        <v>0.77</v>
      </c>
      <c r="I15" s="13">
        <v>1691999.9833333334</v>
      </c>
      <c r="J15" s="15">
        <v>1</v>
      </c>
      <c r="K15" s="13">
        <v>102524527.66666676</v>
      </c>
      <c r="L15" s="13">
        <v>51505351.650000095</v>
      </c>
      <c r="M15" s="13">
        <v>38327557.650000095</v>
      </c>
      <c r="N15" s="179">
        <v>43647</v>
      </c>
      <c r="O15" s="16">
        <v>45474</v>
      </c>
      <c r="P15" s="13">
        <v>1725758</v>
      </c>
      <c r="Q15" s="222" t="e">
        <v>#VALUE!</v>
      </c>
    </row>
    <row r="16" spans="1:17" x14ac:dyDescent="0.2">
      <c r="A16" s="4" t="s">
        <v>34</v>
      </c>
      <c r="B16" s="13">
        <v>1438428739.9100001</v>
      </c>
      <c r="C16" s="13">
        <v>1323388523.03</v>
      </c>
      <c r="D16" s="13">
        <v>115040216.88000011</v>
      </c>
      <c r="E16" s="13">
        <v>27650808.359999999</v>
      </c>
      <c r="F16" s="13">
        <v>30065955</v>
      </c>
      <c r="G16" s="14">
        <v>3.83</v>
      </c>
      <c r="H16" s="14">
        <v>0.92</v>
      </c>
      <c r="I16" s="13">
        <v>2304234.0299999998</v>
      </c>
      <c r="J16" s="15">
        <v>1</v>
      </c>
      <c r="K16" s="13">
        <v>112735982.85000011</v>
      </c>
      <c r="L16" s="13">
        <v>54908306.880000114</v>
      </c>
      <c r="M16" s="13">
        <v>39875329.380000114</v>
      </c>
      <c r="N16" s="179">
        <v>43647</v>
      </c>
      <c r="O16" s="16">
        <v>45474</v>
      </c>
      <c r="P16" s="13">
        <v>4385749.99</v>
      </c>
      <c r="Q16" s="222" t="e">
        <v>#VALUE!</v>
      </c>
    </row>
    <row r="17" spans="1:17" x14ac:dyDescent="0.2">
      <c r="A17" s="4" t="s">
        <v>29</v>
      </c>
      <c r="B17" s="13">
        <v>800464324.92999995</v>
      </c>
      <c r="C17" s="13">
        <v>734038679.71000004</v>
      </c>
      <c r="D17" s="13">
        <v>66425645.219999909</v>
      </c>
      <c r="E17" s="13">
        <v>20458275.91</v>
      </c>
      <c r="F17" s="13">
        <v>17480755</v>
      </c>
      <c r="G17" s="14">
        <v>3.8</v>
      </c>
      <c r="H17" s="14">
        <v>1.17</v>
      </c>
      <c r="I17" s="13">
        <v>1704856.3258333334</v>
      </c>
      <c r="J17" s="15">
        <v>1</v>
      </c>
      <c r="K17" s="13">
        <v>64720788.894166574</v>
      </c>
      <c r="L17" s="13">
        <v>31464135.219999909</v>
      </c>
      <c r="M17" s="13">
        <v>22723757.719999909</v>
      </c>
      <c r="N17" s="179">
        <v>43647</v>
      </c>
      <c r="O17" s="16">
        <v>45474</v>
      </c>
      <c r="P17" s="13">
        <v>2042166.87</v>
      </c>
      <c r="Q17" s="222" t="e">
        <v>#VALUE!</v>
      </c>
    </row>
    <row r="18" spans="1:17" x14ac:dyDescent="0.2">
      <c r="A18" s="4" t="s">
        <v>35</v>
      </c>
      <c r="B18" s="13">
        <v>794219275</v>
      </c>
      <c r="C18" s="13">
        <v>721598739.29999995</v>
      </c>
      <c r="D18" s="13">
        <v>72620535.700000048</v>
      </c>
      <c r="E18" s="13">
        <v>14583635</v>
      </c>
      <c r="F18" s="13">
        <v>19107637</v>
      </c>
      <c r="G18" s="14">
        <v>3.8</v>
      </c>
      <c r="H18" s="14">
        <v>0.76</v>
      </c>
      <c r="I18" s="13">
        <v>1215302.9166666667</v>
      </c>
      <c r="J18" s="15">
        <v>1</v>
      </c>
      <c r="K18" s="13">
        <v>71405232.783333376</v>
      </c>
      <c r="L18" s="13">
        <v>34405261.700000048</v>
      </c>
      <c r="M18" s="13">
        <v>24851443.200000048</v>
      </c>
      <c r="N18" s="179">
        <v>43647</v>
      </c>
      <c r="O18" s="16">
        <v>45474</v>
      </c>
      <c r="P18" s="13">
        <v>1566920.73</v>
      </c>
      <c r="Q18" s="222" t="e">
        <v>#VALUE!</v>
      </c>
    </row>
    <row r="19" spans="1:17" x14ac:dyDescent="0.2">
      <c r="A19" s="4" t="s">
        <v>39</v>
      </c>
      <c r="B19" s="13">
        <v>500565228.91000003</v>
      </c>
      <c r="C19" s="13">
        <v>461131591.19999999</v>
      </c>
      <c r="D19" s="13">
        <v>39433637.710000038</v>
      </c>
      <c r="E19" s="13">
        <v>5991238.25</v>
      </c>
      <c r="F19" s="13">
        <v>10539100</v>
      </c>
      <c r="G19" s="14">
        <v>3.74</v>
      </c>
      <c r="H19" s="14">
        <v>0.56999999999999995</v>
      </c>
      <c r="I19" s="13">
        <v>499269.85416666669</v>
      </c>
      <c r="J19" s="15">
        <v>1</v>
      </c>
      <c r="K19" s="13">
        <v>38934367.855833374</v>
      </c>
      <c r="L19" s="13">
        <v>18355437.710000038</v>
      </c>
      <c r="M19" s="13">
        <v>13085887.710000038</v>
      </c>
      <c r="N19" s="179">
        <v>43647</v>
      </c>
      <c r="O19" s="16">
        <v>45474</v>
      </c>
      <c r="P19" s="13">
        <v>245390.23</v>
      </c>
      <c r="Q19" s="222" t="e">
        <v>#VALUE!</v>
      </c>
    </row>
    <row r="20" spans="1:17" x14ac:dyDescent="0.2">
      <c r="A20" s="4" t="s">
        <v>30</v>
      </c>
      <c r="B20" s="13">
        <v>1022430792.45</v>
      </c>
      <c r="C20" s="13">
        <v>949724829.03999996</v>
      </c>
      <c r="D20" s="13">
        <v>72705963.410000086</v>
      </c>
      <c r="E20" s="13">
        <v>25123646.18</v>
      </c>
      <c r="F20" s="13">
        <v>19809810</v>
      </c>
      <c r="G20" s="14">
        <v>3.67</v>
      </c>
      <c r="H20" s="14">
        <v>1.27</v>
      </c>
      <c r="I20" s="13">
        <v>2093637.1816666666</v>
      </c>
      <c r="J20" s="15">
        <v>0</v>
      </c>
      <c r="K20" s="13">
        <v>72705963.410000086</v>
      </c>
      <c r="L20" s="13" t="s">
        <v>20</v>
      </c>
      <c r="M20" s="13" t="s">
        <v>20</v>
      </c>
      <c r="N20" s="179">
        <v>43922</v>
      </c>
      <c r="O20" s="16">
        <v>45383</v>
      </c>
      <c r="P20" s="13">
        <v>2241502</v>
      </c>
      <c r="Q20" s="222" t="e">
        <v>#VALUE!</v>
      </c>
    </row>
    <row r="21" spans="1:17" x14ac:dyDescent="0.2">
      <c r="A21" s="4" t="s">
        <v>47</v>
      </c>
      <c r="B21" s="13">
        <v>104394118</v>
      </c>
      <c r="C21" s="13">
        <v>95319723.849999994</v>
      </c>
      <c r="D21" s="13">
        <v>9074394.150000006</v>
      </c>
      <c r="E21" s="13">
        <v>1606592.24</v>
      </c>
      <c r="F21" s="13">
        <v>2677355</v>
      </c>
      <c r="G21" s="14">
        <v>3.39</v>
      </c>
      <c r="H21" s="14">
        <v>0.6</v>
      </c>
      <c r="I21" s="13">
        <v>133882.68666666668</v>
      </c>
      <c r="J21" s="15">
        <v>1</v>
      </c>
      <c r="K21" s="13">
        <v>8940511.4633333385</v>
      </c>
      <c r="L21" s="13">
        <v>3719684.150000006</v>
      </c>
      <c r="M21" s="13">
        <v>2381006.650000006</v>
      </c>
      <c r="N21" s="179">
        <v>43647</v>
      </c>
      <c r="O21" s="16">
        <v>45474</v>
      </c>
      <c r="P21" s="13">
        <v>101456.26</v>
      </c>
      <c r="Q21" s="222" t="e">
        <v>#VALUE!</v>
      </c>
    </row>
    <row r="22" spans="1:17" x14ac:dyDescent="0.2">
      <c r="A22" s="4" t="s">
        <v>44</v>
      </c>
      <c r="B22" s="13">
        <v>300551063.33999997</v>
      </c>
      <c r="C22" s="13">
        <v>277705099.94999999</v>
      </c>
      <c r="D22" s="13">
        <v>22845963.389999986</v>
      </c>
      <c r="E22" s="13">
        <v>10797107.699999999</v>
      </c>
      <c r="F22" s="13">
        <v>6730317</v>
      </c>
      <c r="G22" s="14">
        <v>3.39</v>
      </c>
      <c r="H22" s="14">
        <v>1.6</v>
      </c>
      <c r="I22" s="13">
        <v>899758.97499999998</v>
      </c>
      <c r="J22" s="15">
        <v>1</v>
      </c>
      <c r="K22" s="13">
        <v>21946204.414999984</v>
      </c>
      <c r="L22" s="13">
        <v>9385329.3899999857</v>
      </c>
      <c r="M22" s="13">
        <v>6020170.8899999857</v>
      </c>
      <c r="N22" s="179">
        <v>43647</v>
      </c>
      <c r="O22" s="16">
        <v>45474</v>
      </c>
      <c r="P22" s="13">
        <v>1554084.61</v>
      </c>
      <c r="Q22" s="222" t="e">
        <v>#VALUE!</v>
      </c>
    </row>
    <row r="23" spans="1:17" x14ac:dyDescent="0.2">
      <c r="A23" s="4" t="s">
        <v>33</v>
      </c>
      <c r="B23" s="13">
        <v>1010324720</v>
      </c>
      <c r="C23" s="13">
        <v>933309329.44000006</v>
      </c>
      <c r="D23" s="13">
        <v>77015390.559999943</v>
      </c>
      <c r="E23" s="13">
        <v>31569289.68</v>
      </c>
      <c r="F23" s="13">
        <v>23059848</v>
      </c>
      <c r="G23" s="14">
        <v>3.34</v>
      </c>
      <c r="H23" s="14">
        <v>1.37</v>
      </c>
      <c r="I23" s="13">
        <v>2630774.14</v>
      </c>
      <c r="J23" s="15">
        <v>0</v>
      </c>
      <c r="K23" s="13">
        <v>77015390.559999943</v>
      </c>
      <c r="L23" s="13" t="s">
        <v>20</v>
      </c>
      <c r="M23" s="13" t="s">
        <v>20</v>
      </c>
      <c r="N23" s="179">
        <v>43922</v>
      </c>
      <c r="O23" s="16">
        <v>45383</v>
      </c>
      <c r="P23" s="13">
        <v>1280307.3700000001</v>
      </c>
      <c r="Q23" s="222" t="e">
        <v>#VALUE!</v>
      </c>
    </row>
    <row r="24" spans="1:17" x14ac:dyDescent="0.2">
      <c r="A24" s="4" t="s">
        <v>43</v>
      </c>
      <c r="B24" s="13">
        <v>254239457</v>
      </c>
      <c r="C24" s="13">
        <v>235382327.47999999</v>
      </c>
      <c r="D24" s="13">
        <v>18857129.520000011</v>
      </c>
      <c r="E24" s="13">
        <v>4614705.42</v>
      </c>
      <c r="F24" s="13">
        <v>5680880</v>
      </c>
      <c r="G24" s="14">
        <v>3.32</v>
      </c>
      <c r="H24" s="14">
        <v>0.81</v>
      </c>
      <c r="I24" s="13">
        <v>384558.78499999997</v>
      </c>
      <c r="J24" s="15">
        <v>7</v>
      </c>
      <c r="K24" s="13">
        <v>16165218.025000012</v>
      </c>
      <c r="L24" s="13">
        <v>1070767.0742857158</v>
      </c>
      <c r="M24" s="13">
        <v>664989.93142857298</v>
      </c>
      <c r="N24" s="179">
        <v>43831</v>
      </c>
      <c r="O24" s="16">
        <v>45658</v>
      </c>
      <c r="P24" s="13">
        <v>272477.53999999998</v>
      </c>
      <c r="Q24" s="222" t="e">
        <v>#VALUE!</v>
      </c>
    </row>
    <row r="25" spans="1:17" x14ac:dyDescent="0.2">
      <c r="A25" s="4" t="s">
        <v>45</v>
      </c>
      <c r="B25" s="13">
        <v>2001064841.29</v>
      </c>
      <c r="C25" s="13">
        <v>1873943415.6199999</v>
      </c>
      <c r="D25" s="13">
        <v>127121425.67000008</v>
      </c>
      <c r="E25" s="13">
        <v>38461554.93</v>
      </c>
      <c r="F25" s="13">
        <v>40779947</v>
      </c>
      <c r="G25" s="14">
        <v>3.12</v>
      </c>
      <c r="H25" s="14">
        <v>0.94</v>
      </c>
      <c r="I25" s="13">
        <v>3205129.5775000001</v>
      </c>
      <c r="J25" s="15">
        <v>7</v>
      </c>
      <c r="K25" s="13">
        <v>104685518.62750007</v>
      </c>
      <c r="L25" s="13">
        <v>6508790.2385714399</v>
      </c>
      <c r="M25" s="13">
        <v>3595936.8814285821</v>
      </c>
      <c r="N25" s="179">
        <v>43831</v>
      </c>
      <c r="O25" s="16">
        <v>45658</v>
      </c>
      <c r="P25" s="13">
        <v>2208583.5</v>
      </c>
      <c r="Q25" s="222" t="e">
        <v>#VALUE!</v>
      </c>
    </row>
    <row r="26" spans="1:17" x14ac:dyDescent="0.2">
      <c r="A26" s="4" t="s">
        <v>51</v>
      </c>
      <c r="B26" s="13">
        <v>1059732308</v>
      </c>
      <c r="C26" s="13">
        <v>985203499.45000005</v>
      </c>
      <c r="D26" s="13">
        <v>74528808.549999952</v>
      </c>
      <c r="E26" s="13">
        <v>16573135.300000001</v>
      </c>
      <c r="F26" s="13">
        <v>24168777</v>
      </c>
      <c r="G26" s="14">
        <v>3.08</v>
      </c>
      <c r="H26" s="14">
        <v>0.69</v>
      </c>
      <c r="I26" s="13">
        <v>1381094.6083333334</v>
      </c>
      <c r="J26" s="15">
        <v>7</v>
      </c>
      <c r="K26" s="13">
        <v>64861146.291666619</v>
      </c>
      <c r="L26" s="13">
        <v>3741607.7928571361</v>
      </c>
      <c r="M26" s="13">
        <v>2015266.5785714218</v>
      </c>
      <c r="N26" s="179">
        <v>43831</v>
      </c>
      <c r="O26" s="16">
        <v>45658</v>
      </c>
      <c r="P26" s="13">
        <v>1547998.46</v>
      </c>
      <c r="Q26" s="222" t="e">
        <v>#VALUE!</v>
      </c>
    </row>
    <row r="27" spans="1:17" x14ac:dyDescent="0.2">
      <c r="A27" s="4" t="s">
        <v>41</v>
      </c>
      <c r="B27" s="13">
        <v>1228777673.53</v>
      </c>
      <c r="C27" s="13">
        <v>1085205063.1600001</v>
      </c>
      <c r="D27" s="13">
        <v>143572610.36999989</v>
      </c>
      <c r="E27" s="13">
        <v>54387063.240000002</v>
      </c>
      <c r="F27" s="13">
        <v>47456120</v>
      </c>
      <c r="G27" s="14">
        <v>3.03</v>
      </c>
      <c r="H27" s="14">
        <v>1.1499999999999999</v>
      </c>
      <c r="I27" s="13">
        <v>4532255.2700000005</v>
      </c>
      <c r="J27" s="15">
        <v>7</v>
      </c>
      <c r="K27" s="13">
        <v>111846823.47999988</v>
      </c>
      <c r="L27" s="13">
        <v>6951481.4814285552</v>
      </c>
      <c r="M27" s="13" t="s">
        <v>42</v>
      </c>
      <c r="N27" s="179">
        <v>43831</v>
      </c>
      <c r="O27" s="16">
        <v>45658</v>
      </c>
      <c r="P27" s="13">
        <v>2134771.17</v>
      </c>
      <c r="Q27" s="222" t="e">
        <v>#VALUE!</v>
      </c>
    </row>
    <row r="28" spans="1:17" x14ac:dyDescent="0.2">
      <c r="A28" s="4" t="s">
        <v>46</v>
      </c>
      <c r="B28" s="13">
        <v>314446387.48000002</v>
      </c>
      <c r="C28" s="13">
        <v>289463907.63</v>
      </c>
      <c r="D28" s="13">
        <v>24982479.850000024</v>
      </c>
      <c r="E28" s="13">
        <v>8418087.5399999991</v>
      </c>
      <c r="F28" s="13">
        <v>8369791</v>
      </c>
      <c r="G28" s="14">
        <v>2.98</v>
      </c>
      <c r="H28" s="14">
        <v>1.01</v>
      </c>
      <c r="I28" s="13">
        <v>701507.29499999993</v>
      </c>
      <c r="J28" s="15">
        <v>1</v>
      </c>
      <c r="K28" s="13">
        <v>24280972.555000022</v>
      </c>
      <c r="L28" s="13">
        <v>8242897.8500000238</v>
      </c>
      <c r="M28" s="13">
        <v>4058002.3500000238</v>
      </c>
      <c r="N28" s="179">
        <v>43647</v>
      </c>
      <c r="O28" s="16">
        <v>45474</v>
      </c>
      <c r="P28" s="13">
        <v>214651.05</v>
      </c>
      <c r="Q28" s="222" t="e">
        <v>#VALUE!</v>
      </c>
    </row>
    <row r="29" spans="1:17" x14ac:dyDescent="0.2">
      <c r="A29" s="4" t="s">
        <v>50</v>
      </c>
      <c r="B29" s="13">
        <v>1642297566.0699999</v>
      </c>
      <c r="C29" s="13">
        <v>1521966126.8699999</v>
      </c>
      <c r="D29" s="13">
        <v>120331439.20000005</v>
      </c>
      <c r="E29" s="13">
        <v>37604886.920000002</v>
      </c>
      <c r="F29" s="13">
        <v>40984884</v>
      </c>
      <c r="G29" s="14">
        <v>2.94</v>
      </c>
      <c r="H29" s="14">
        <v>0.92</v>
      </c>
      <c r="I29" s="13">
        <v>3133740.5766666667</v>
      </c>
      <c r="J29" s="15">
        <v>1</v>
      </c>
      <c r="K29" s="13">
        <v>117197698.62333338</v>
      </c>
      <c r="L29" s="13">
        <v>38361671.200000048</v>
      </c>
      <c r="M29" s="13">
        <v>17869229.200000048</v>
      </c>
      <c r="N29" s="179">
        <v>43647</v>
      </c>
      <c r="O29" s="16">
        <v>45474</v>
      </c>
      <c r="P29" s="13">
        <v>3033173.84</v>
      </c>
      <c r="Q29" s="222" t="e">
        <v>#VALUE!</v>
      </c>
    </row>
    <row r="30" spans="1:17" x14ac:dyDescent="0.2">
      <c r="A30" s="4" t="s">
        <v>49</v>
      </c>
      <c r="B30" s="13">
        <v>1239472339.1700001</v>
      </c>
      <c r="C30" s="13">
        <v>1168600702.54</v>
      </c>
      <c r="D30" s="13">
        <v>70871636.630000114</v>
      </c>
      <c r="E30" s="13">
        <v>21456851.190000001</v>
      </c>
      <c r="F30" s="13">
        <v>24088947</v>
      </c>
      <c r="G30" s="14">
        <v>2.94</v>
      </c>
      <c r="H30" s="14">
        <v>0.89</v>
      </c>
      <c r="I30" s="13">
        <v>1788070.9325000001</v>
      </c>
      <c r="J30" s="15">
        <v>1</v>
      </c>
      <c r="K30" s="13">
        <v>69083565.69750011</v>
      </c>
      <c r="L30" s="13">
        <v>22693742.630000114</v>
      </c>
      <c r="M30" s="13">
        <v>10649269.130000114</v>
      </c>
      <c r="N30" s="179">
        <v>43647</v>
      </c>
      <c r="O30" s="16">
        <v>45474</v>
      </c>
      <c r="P30" s="13">
        <v>1988596.22</v>
      </c>
      <c r="Q30" s="222" t="e">
        <v>#VALUE!</v>
      </c>
    </row>
    <row r="31" spans="1:17" x14ac:dyDescent="0.2">
      <c r="A31" s="4" t="s">
        <v>55</v>
      </c>
      <c r="B31" s="13">
        <v>675052951</v>
      </c>
      <c r="C31" s="13">
        <v>633192601.21000004</v>
      </c>
      <c r="D31" s="13">
        <v>41860349.789999962</v>
      </c>
      <c r="E31" s="13">
        <v>10031558.73</v>
      </c>
      <c r="F31" s="13">
        <v>14786581</v>
      </c>
      <c r="G31" s="14">
        <v>2.83</v>
      </c>
      <c r="H31" s="14">
        <v>0.68</v>
      </c>
      <c r="I31" s="13">
        <v>835963.22750000004</v>
      </c>
      <c r="J31" s="15">
        <v>7</v>
      </c>
      <c r="K31" s="13">
        <v>36008607.197499961</v>
      </c>
      <c r="L31" s="13">
        <v>1755312.541428566</v>
      </c>
      <c r="M31" s="13" t="s">
        <v>42</v>
      </c>
      <c r="N31" s="179">
        <v>43466</v>
      </c>
      <c r="O31" s="16">
        <v>45658</v>
      </c>
      <c r="P31" s="13">
        <v>640395.59</v>
      </c>
      <c r="Q31" s="222" t="e">
        <v>#VALUE!</v>
      </c>
    </row>
    <row r="32" spans="1:17" x14ac:dyDescent="0.2">
      <c r="A32" s="4" t="s">
        <v>36</v>
      </c>
      <c r="B32" s="13">
        <v>392634217.93000001</v>
      </c>
      <c r="C32" s="13">
        <v>366389821.02999997</v>
      </c>
      <c r="D32" s="13">
        <v>26244396.900000036</v>
      </c>
      <c r="E32" s="13">
        <v>16882787.969999999</v>
      </c>
      <c r="F32" s="13">
        <v>9305817</v>
      </c>
      <c r="G32" s="14">
        <v>2.82</v>
      </c>
      <c r="H32" s="14">
        <v>1.81</v>
      </c>
      <c r="I32" s="13">
        <v>1406898.9974999998</v>
      </c>
      <c r="J32" s="15">
        <v>0</v>
      </c>
      <c r="K32" s="13">
        <v>26244396.900000036</v>
      </c>
      <c r="L32" s="13" t="s">
        <v>20</v>
      </c>
      <c r="M32" s="13" t="s">
        <v>20</v>
      </c>
      <c r="N32" s="179">
        <v>43556</v>
      </c>
      <c r="O32" s="16">
        <v>45383</v>
      </c>
      <c r="P32" s="13">
        <v>613509.91</v>
      </c>
      <c r="Q32" s="222" t="e">
        <v>#VALUE!</v>
      </c>
    </row>
    <row r="33" spans="1:17" x14ac:dyDescent="0.2">
      <c r="A33" s="4" t="s">
        <v>38</v>
      </c>
      <c r="B33" s="13">
        <v>528328839.02999997</v>
      </c>
      <c r="C33" s="13">
        <v>490180864.73000002</v>
      </c>
      <c r="D33" s="13">
        <v>38147974.299999952</v>
      </c>
      <c r="E33" s="13">
        <v>21700267.129999999</v>
      </c>
      <c r="F33" s="13">
        <v>13880022</v>
      </c>
      <c r="G33" s="14">
        <v>2.75</v>
      </c>
      <c r="H33" s="14">
        <v>1.56</v>
      </c>
      <c r="I33" s="13">
        <v>1808355.5941666665</v>
      </c>
      <c r="J33" s="15">
        <v>1</v>
      </c>
      <c r="K33" s="13">
        <v>36339618.705833286</v>
      </c>
      <c r="L33" s="13">
        <v>10387930.299999952</v>
      </c>
      <c r="M33" s="13">
        <v>3447919.2999999523</v>
      </c>
      <c r="N33" s="179">
        <v>43647</v>
      </c>
      <c r="O33" s="16">
        <v>45474</v>
      </c>
      <c r="P33" s="13">
        <v>0</v>
      </c>
      <c r="Q33" s="222" t="e">
        <v>#VALUE!</v>
      </c>
    </row>
    <row r="34" spans="1:17" x14ac:dyDescent="0.2">
      <c r="A34" s="4" t="s">
        <v>56</v>
      </c>
      <c r="B34" s="13">
        <v>1154905413</v>
      </c>
      <c r="C34" s="13">
        <v>1079392075.2</v>
      </c>
      <c r="D34" s="13">
        <v>75513337.799999952</v>
      </c>
      <c r="E34" s="13">
        <v>22934865.66</v>
      </c>
      <c r="F34" s="13">
        <v>27571438</v>
      </c>
      <c r="G34" s="14">
        <v>2.74</v>
      </c>
      <c r="H34" s="14">
        <v>0.83</v>
      </c>
      <c r="I34" s="13">
        <v>1911238.8049999999</v>
      </c>
      <c r="J34" s="15">
        <v>1</v>
      </c>
      <c r="K34" s="13">
        <v>73602098.994999945</v>
      </c>
      <c r="L34" s="13">
        <v>20370461.799999952</v>
      </c>
      <c r="M34" s="13">
        <v>6584742.7999999523</v>
      </c>
      <c r="N34" s="179">
        <v>43647</v>
      </c>
      <c r="O34" s="16">
        <v>45474</v>
      </c>
      <c r="P34" s="13">
        <v>1205224.33</v>
      </c>
      <c r="Q34" s="222" t="e">
        <v>#VALUE!</v>
      </c>
    </row>
    <row r="35" spans="1:17" x14ac:dyDescent="0.2">
      <c r="A35" s="4" t="s">
        <v>64</v>
      </c>
      <c r="B35" s="13">
        <v>346058940</v>
      </c>
      <c r="C35" s="13">
        <v>321905098.80000001</v>
      </c>
      <c r="D35" s="13">
        <v>24153841.199999988</v>
      </c>
      <c r="E35" s="13">
        <v>5275579.6900000004</v>
      </c>
      <c r="F35" s="13">
        <v>9353201</v>
      </c>
      <c r="G35" s="14">
        <v>2.58</v>
      </c>
      <c r="H35" s="14">
        <v>0.56000000000000005</v>
      </c>
      <c r="I35" s="13">
        <v>439631.64083333337</v>
      </c>
      <c r="J35" s="15">
        <v>7</v>
      </c>
      <c r="K35" s="13">
        <v>21076419.714166656</v>
      </c>
      <c r="L35" s="13">
        <v>778205.59999999835</v>
      </c>
      <c r="M35" s="13" t="s">
        <v>42</v>
      </c>
      <c r="N35" s="179">
        <v>43831</v>
      </c>
      <c r="O35" s="16">
        <v>45658</v>
      </c>
      <c r="P35" s="13">
        <v>203791.08</v>
      </c>
      <c r="Q35" s="222" t="e">
        <v>#VALUE!</v>
      </c>
    </row>
    <row r="36" spans="1:17" x14ac:dyDescent="0.2">
      <c r="A36" s="4" t="s">
        <v>53</v>
      </c>
      <c r="B36" s="13">
        <v>2879313105.54</v>
      </c>
      <c r="C36" s="13">
        <v>2698630464.4699998</v>
      </c>
      <c r="D36" s="13">
        <v>180682641.07000017</v>
      </c>
      <c r="E36" s="13">
        <v>77931486.219999999</v>
      </c>
      <c r="F36" s="13">
        <v>70613641</v>
      </c>
      <c r="G36" s="14">
        <v>2.56</v>
      </c>
      <c r="H36" s="14">
        <v>1.1000000000000001</v>
      </c>
      <c r="I36" s="13">
        <v>6494290.5183333335</v>
      </c>
      <c r="J36" s="15">
        <v>3</v>
      </c>
      <c r="K36" s="13">
        <v>161199769.51500016</v>
      </c>
      <c r="L36" s="13">
        <v>13151786.356666723</v>
      </c>
      <c r="M36" s="13" t="s">
        <v>42</v>
      </c>
      <c r="N36" s="179">
        <v>44075</v>
      </c>
      <c r="O36" s="16">
        <v>45536</v>
      </c>
      <c r="P36" s="13">
        <v>4601892.1399999997</v>
      </c>
      <c r="Q36" s="222" t="e">
        <v>#VALUE!</v>
      </c>
    </row>
    <row r="37" spans="1:17" x14ac:dyDescent="0.2">
      <c r="A37" s="4" t="s">
        <v>48</v>
      </c>
      <c r="B37" s="13">
        <v>545409679.30999994</v>
      </c>
      <c r="C37" s="13">
        <v>515638245.31</v>
      </c>
      <c r="D37" s="13">
        <v>29771433.99999994</v>
      </c>
      <c r="E37" s="13">
        <v>15411647.83</v>
      </c>
      <c r="F37" s="13">
        <v>11656242</v>
      </c>
      <c r="G37" s="14">
        <v>2.5499999999999998</v>
      </c>
      <c r="H37" s="14">
        <v>1.32</v>
      </c>
      <c r="I37" s="13">
        <v>1284303.9858333333</v>
      </c>
      <c r="J37" s="15">
        <v>7</v>
      </c>
      <c r="K37" s="13">
        <v>20781306.099166609</v>
      </c>
      <c r="L37" s="13" t="s">
        <v>42</v>
      </c>
      <c r="M37" s="13" t="s">
        <v>42</v>
      </c>
      <c r="N37" s="179">
        <v>43831</v>
      </c>
      <c r="O37" s="16">
        <v>45658</v>
      </c>
      <c r="P37" s="13">
        <v>287665</v>
      </c>
      <c r="Q37" s="222" t="e">
        <v>#VALUE!</v>
      </c>
    </row>
    <row r="38" spans="1:17" x14ac:dyDescent="0.2">
      <c r="A38" s="4" t="s">
        <v>52</v>
      </c>
      <c r="B38" s="13">
        <v>522049097</v>
      </c>
      <c r="C38" s="13">
        <v>489092055.63</v>
      </c>
      <c r="D38" s="13">
        <v>32957041.370000005</v>
      </c>
      <c r="E38" s="13">
        <v>15268939.91</v>
      </c>
      <c r="F38" s="13">
        <v>13105608</v>
      </c>
      <c r="G38" s="14">
        <v>2.5099999999999998</v>
      </c>
      <c r="H38" s="14">
        <v>1.17</v>
      </c>
      <c r="I38" s="13">
        <v>1272411.6591666667</v>
      </c>
      <c r="J38" s="15">
        <v>1</v>
      </c>
      <c r="K38" s="13">
        <v>31684629.710833337</v>
      </c>
      <c r="L38" s="13">
        <v>6745825.3700000048</v>
      </c>
      <c r="M38" s="13" t="s">
        <v>42</v>
      </c>
      <c r="N38" s="179">
        <v>43647</v>
      </c>
      <c r="O38" s="16">
        <v>45474</v>
      </c>
      <c r="P38" s="13">
        <v>824694.91</v>
      </c>
      <c r="Q38" s="222" t="e">
        <v>#VALUE!</v>
      </c>
    </row>
    <row r="39" spans="1:17" x14ac:dyDescent="0.2">
      <c r="A39" s="4" t="s">
        <v>54</v>
      </c>
      <c r="B39" s="13">
        <v>1394382977.99</v>
      </c>
      <c r="C39" s="13">
        <v>1308077765.51</v>
      </c>
      <c r="D39" s="13">
        <v>86305212.480000019</v>
      </c>
      <c r="E39" s="13">
        <v>36145091.829999998</v>
      </c>
      <c r="F39" s="13">
        <v>34869850</v>
      </c>
      <c r="G39" s="14">
        <v>2.48</v>
      </c>
      <c r="H39" s="14">
        <v>1.04</v>
      </c>
      <c r="I39" s="13">
        <v>3012090.9858333333</v>
      </c>
      <c r="J39" s="15">
        <v>0</v>
      </c>
      <c r="K39" s="13">
        <v>86305212.480000019</v>
      </c>
      <c r="L39" s="13" t="s">
        <v>20</v>
      </c>
      <c r="M39" s="13" t="s">
        <v>42</v>
      </c>
      <c r="N39" s="179">
        <v>43922</v>
      </c>
      <c r="O39" s="16">
        <v>45383</v>
      </c>
      <c r="P39" s="13">
        <v>2228079.0099999998</v>
      </c>
      <c r="Q39" s="222" t="e">
        <v>#VALUE!</v>
      </c>
    </row>
    <row r="40" spans="1:17" x14ac:dyDescent="0.2">
      <c r="A40" s="4" t="s">
        <v>61</v>
      </c>
      <c r="B40" s="13">
        <v>1085275104.5</v>
      </c>
      <c r="C40" s="13">
        <v>1028782385</v>
      </c>
      <c r="D40" s="13">
        <v>56492719.5</v>
      </c>
      <c r="E40" s="13">
        <v>20798356.670000002</v>
      </c>
      <c r="F40" s="13">
        <v>22858857</v>
      </c>
      <c r="G40" s="14">
        <v>2.4700000000000002</v>
      </c>
      <c r="H40" s="14">
        <v>0.91</v>
      </c>
      <c r="I40" s="13">
        <v>1733196.3891666669</v>
      </c>
      <c r="J40" s="15">
        <v>0</v>
      </c>
      <c r="K40" s="13">
        <v>56492719.5</v>
      </c>
      <c r="L40" s="13" t="s">
        <v>20</v>
      </c>
      <c r="M40" s="13" t="s">
        <v>42</v>
      </c>
      <c r="N40" s="179">
        <v>43556</v>
      </c>
      <c r="O40" s="16">
        <v>45383</v>
      </c>
      <c r="P40" s="13">
        <v>1365640.67</v>
      </c>
      <c r="Q40" s="222" t="e">
        <v>#VALUE!</v>
      </c>
    </row>
    <row r="41" spans="1:17" x14ac:dyDescent="0.2">
      <c r="A41" s="4" t="s">
        <v>63</v>
      </c>
      <c r="B41" s="13">
        <v>1309738768.5599999</v>
      </c>
      <c r="C41" s="13">
        <v>1237022726.5599999</v>
      </c>
      <c r="D41" s="13">
        <v>72716042</v>
      </c>
      <c r="E41" s="13">
        <v>26782843.48</v>
      </c>
      <c r="F41" s="13">
        <v>30738746</v>
      </c>
      <c r="G41" s="14">
        <v>2.37</v>
      </c>
      <c r="H41" s="14">
        <v>0.87</v>
      </c>
      <c r="I41" s="13">
        <v>2231903.6233333335</v>
      </c>
      <c r="J41" s="15">
        <v>1</v>
      </c>
      <c r="K41" s="13">
        <v>70484138.376666665</v>
      </c>
      <c r="L41" s="13">
        <v>11238550</v>
      </c>
      <c r="M41" s="13" t="s">
        <v>42</v>
      </c>
      <c r="N41" s="179">
        <v>43647</v>
      </c>
      <c r="O41" s="16">
        <v>45474</v>
      </c>
      <c r="P41" s="13">
        <v>2648045.89</v>
      </c>
      <c r="Q41" s="222" t="e">
        <v>#VALUE!</v>
      </c>
    </row>
    <row r="42" spans="1:17" x14ac:dyDescent="0.2">
      <c r="A42" s="4" t="s">
        <v>58</v>
      </c>
      <c r="B42" s="13">
        <v>1205115490</v>
      </c>
      <c r="C42" s="13">
        <v>1152569119.5999999</v>
      </c>
      <c r="D42" s="13">
        <v>52546370.400000095</v>
      </c>
      <c r="E42" s="13">
        <v>25394263.77</v>
      </c>
      <c r="F42" s="13">
        <v>22499042</v>
      </c>
      <c r="G42" s="14">
        <v>2.34</v>
      </c>
      <c r="H42" s="14">
        <v>1.1299999999999999</v>
      </c>
      <c r="I42" s="13">
        <v>2116188.6475</v>
      </c>
      <c r="J42" s="15">
        <v>0</v>
      </c>
      <c r="K42" s="13">
        <v>52546370.400000095</v>
      </c>
      <c r="L42" s="13" t="s">
        <v>20</v>
      </c>
      <c r="M42" s="13" t="s">
        <v>42</v>
      </c>
      <c r="N42" s="179">
        <v>43922</v>
      </c>
      <c r="O42" s="16">
        <v>45383</v>
      </c>
      <c r="P42" s="13">
        <v>1569208.37</v>
      </c>
      <c r="Q42" s="222" t="e">
        <v>#VALUE!</v>
      </c>
    </row>
    <row r="43" spans="1:17" x14ac:dyDescent="0.2">
      <c r="A43" s="4" t="s">
        <v>60</v>
      </c>
      <c r="B43" s="13">
        <v>342887810.45999998</v>
      </c>
      <c r="C43" s="13">
        <v>323990266.25999999</v>
      </c>
      <c r="D43" s="13">
        <v>18897544.199999988</v>
      </c>
      <c r="E43" s="13">
        <v>8664733.9100000001</v>
      </c>
      <c r="F43" s="13">
        <v>8236180</v>
      </c>
      <c r="G43" s="14">
        <v>2.29</v>
      </c>
      <c r="H43" s="14">
        <v>1.05</v>
      </c>
      <c r="I43" s="13">
        <v>722061.15916666668</v>
      </c>
      <c r="J43" s="15">
        <v>0</v>
      </c>
      <c r="K43" s="13">
        <v>18897544.199999988</v>
      </c>
      <c r="L43" s="13" t="s">
        <v>20</v>
      </c>
      <c r="M43" s="13" t="s">
        <v>42</v>
      </c>
      <c r="N43" s="179">
        <v>43556</v>
      </c>
      <c r="O43" s="16">
        <v>45383</v>
      </c>
      <c r="P43" s="13">
        <v>525850.76</v>
      </c>
      <c r="Q43" s="222" t="e">
        <v>#VALUE!</v>
      </c>
    </row>
    <row r="44" spans="1:17" x14ac:dyDescent="0.2">
      <c r="A44" s="4" t="s">
        <v>59</v>
      </c>
      <c r="B44" s="13">
        <v>277600986</v>
      </c>
      <c r="C44" s="13">
        <v>260607124.03</v>
      </c>
      <c r="D44" s="13">
        <v>16993861.969999999</v>
      </c>
      <c r="E44" s="13">
        <v>8338191.5499999998</v>
      </c>
      <c r="F44" s="13">
        <v>7461397</v>
      </c>
      <c r="G44" s="14">
        <v>2.2799999999999998</v>
      </c>
      <c r="H44" s="14">
        <v>1.1200000000000001</v>
      </c>
      <c r="I44" s="13">
        <v>694849.29583333328</v>
      </c>
      <c r="J44" s="15">
        <v>1</v>
      </c>
      <c r="K44" s="13">
        <v>16299012.674166666</v>
      </c>
      <c r="L44" s="13">
        <v>2071067.9699999988</v>
      </c>
      <c r="M44" s="13" t="s">
        <v>42</v>
      </c>
      <c r="N44" s="179">
        <v>43647</v>
      </c>
      <c r="O44" s="16">
        <v>45474</v>
      </c>
      <c r="P44" s="13">
        <v>1477946.44</v>
      </c>
      <c r="Q44" s="222" t="e">
        <v>#VALUE!</v>
      </c>
    </row>
    <row r="45" spans="1:17" x14ac:dyDescent="0.2">
      <c r="A45" s="4" t="s">
        <v>57</v>
      </c>
      <c r="B45" s="13">
        <v>98701064</v>
      </c>
      <c r="C45" s="13">
        <v>92616233.099999994</v>
      </c>
      <c r="D45" s="13">
        <v>6084830.900000006</v>
      </c>
      <c r="E45" s="13">
        <v>4894835.9800000004</v>
      </c>
      <c r="F45" s="13">
        <v>2898567</v>
      </c>
      <c r="G45" s="14">
        <v>2.1</v>
      </c>
      <c r="H45" s="14">
        <v>1.69</v>
      </c>
      <c r="I45" s="13">
        <v>407902.99833333335</v>
      </c>
      <c r="J45" s="15">
        <v>1</v>
      </c>
      <c r="K45" s="13">
        <v>5676927.9016666729</v>
      </c>
      <c r="L45" s="13" t="s">
        <v>42</v>
      </c>
      <c r="M45" s="13" t="s">
        <v>42</v>
      </c>
      <c r="N45" s="179">
        <v>43647</v>
      </c>
      <c r="O45" s="16">
        <v>45474</v>
      </c>
      <c r="P45" s="13">
        <v>108794.5</v>
      </c>
      <c r="Q45" s="222" t="e">
        <v>#VALUE!</v>
      </c>
    </row>
    <row r="46" spans="1:17" x14ac:dyDescent="0.2">
      <c r="A46" s="4" t="s">
        <v>62</v>
      </c>
      <c r="B46" s="13">
        <v>685388676.61000001</v>
      </c>
      <c r="C46" s="13">
        <v>656955899.63</v>
      </c>
      <c r="D46" s="13">
        <v>28432776.980000019</v>
      </c>
      <c r="E46" s="13">
        <v>16804912.219999999</v>
      </c>
      <c r="F46" s="13">
        <v>13963452</v>
      </c>
      <c r="G46" s="14">
        <v>2.04</v>
      </c>
      <c r="H46" s="14">
        <v>1.2</v>
      </c>
      <c r="I46" s="13">
        <v>1400409.3516666666</v>
      </c>
      <c r="J46" s="15">
        <v>0</v>
      </c>
      <c r="K46" s="13">
        <v>28432776.980000019</v>
      </c>
      <c r="L46" s="13" t="s">
        <v>20</v>
      </c>
      <c r="M46" s="13" t="s">
        <v>42</v>
      </c>
      <c r="N46" s="179">
        <v>43922</v>
      </c>
      <c r="O46" s="16">
        <v>45383</v>
      </c>
      <c r="P46" s="13">
        <v>681121.09</v>
      </c>
      <c r="Q46" s="222" t="e">
        <v>#VALUE!</v>
      </c>
    </row>
    <row r="47" spans="1:17" x14ac:dyDescent="0.2">
      <c r="A47" s="4" t="s">
        <v>66</v>
      </c>
      <c r="B47" s="13">
        <v>1940110596.77</v>
      </c>
      <c r="C47" s="13">
        <v>1848059338.45</v>
      </c>
      <c r="D47" s="13">
        <v>92051258.319999933</v>
      </c>
      <c r="E47" s="13">
        <v>41094610.109999999</v>
      </c>
      <c r="F47" s="13">
        <v>45492764</v>
      </c>
      <c r="G47" s="14">
        <v>2.02</v>
      </c>
      <c r="H47" s="14">
        <v>0.9</v>
      </c>
      <c r="I47" s="13">
        <v>3424550.8424999998</v>
      </c>
      <c r="J47" s="15">
        <v>1</v>
      </c>
      <c r="K47" s="13">
        <v>88626707.477499932</v>
      </c>
      <c r="L47" s="13" t="s">
        <v>42</v>
      </c>
      <c r="M47" s="13" t="s">
        <v>42</v>
      </c>
      <c r="N47" s="179">
        <v>43647</v>
      </c>
      <c r="O47" s="16">
        <v>45474</v>
      </c>
      <c r="P47" s="13">
        <v>2591967.81</v>
      </c>
      <c r="Q47" s="222" t="e">
        <v>#VALUE!</v>
      </c>
    </row>
    <row r="48" spans="1:17" x14ac:dyDescent="0.2">
      <c r="A48" s="4" t="s">
        <v>65</v>
      </c>
      <c r="B48" s="13">
        <v>389160034</v>
      </c>
      <c r="C48" s="13">
        <v>369986327.20999998</v>
      </c>
      <c r="D48" s="13">
        <v>19173706.790000021</v>
      </c>
      <c r="E48" s="13">
        <v>10458625.130000001</v>
      </c>
      <c r="F48" s="13">
        <v>10126728</v>
      </c>
      <c r="G48" s="14">
        <v>1.89</v>
      </c>
      <c r="H48" s="14">
        <v>1.03</v>
      </c>
      <c r="I48" s="13">
        <v>871552.09416666673</v>
      </c>
      <c r="J48" s="15">
        <v>1</v>
      </c>
      <c r="K48" s="13">
        <v>18302154.695833355</v>
      </c>
      <c r="L48" s="13" t="s">
        <v>42</v>
      </c>
      <c r="M48" s="13" t="s">
        <v>42</v>
      </c>
      <c r="N48" s="179">
        <v>43647</v>
      </c>
      <c r="O48" s="16">
        <v>45474</v>
      </c>
      <c r="P48" s="13">
        <v>666106.44999999995</v>
      </c>
      <c r="Q48" s="222" t="e">
        <v>#VALUE!</v>
      </c>
    </row>
    <row r="49" spans="1:17" x14ac:dyDescent="0.2">
      <c r="A49" s="4" t="s">
        <v>67</v>
      </c>
      <c r="B49" s="13">
        <v>1082941284</v>
      </c>
      <c r="C49" s="13">
        <v>1031932267.6</v>
      </c>
      <c r="D49" s="13">
        <v>51009016.399999976</v>
      </c>
      <c r="E49" s="13">
        <v>25924294.219999999</v>
      </c>
      <c r="F49" s="13">
        <v>27168342</v>
      </c>
      <c r="G49" s="14">
        <v>1.88</v>
      </c>
      <c r="H49" s="14">
        <v>0.95</v>
      </c>
      <c r="I49" s="13">
        <v>2160357.8516666666</v>
      </c>
      <c r="J49" s="15">
        <v>0</v>
      </c>
      <c r="K49" s="13">
        <v>51009016.399999976</v>
      </c>
      <c r="L49" s="13" t="s">
        <v>42</v>
      </c>
      <c r="M49" s="13" t="s">
        <v>42</v>
      </c>
      <c r="N49" s="179">
        <v>43922</v>
      </c>
      <c r="O49" s="16">
        <v>45383</v>
      </c>
      <c r="P49" s="13">
        <v>49690.98</v>
      </c>
      <c r="Q49" s="222" t="e">
        <v>#VALUE!</v>
      </c>
    </row>
    <row r="50" spans="1:17" x14ac:dyDescent="0.2">
      <c r="A50" s="4" t="s">
        <v>68</v>
      </c>
      <c r="B50" s="13">
        <v>497245980</v>
      </c>
      <c r="C50" s="13">
        <v>475194342.02999997</v>
      </c>
      <c r="D50" s="13">
        <v>22051637.970000029</v>
      </c>
      <c r="E50" s="13">
        <v>11553955.050000001</v>
      </c>
      <c r="F50" s="13">
        <v>11808636</v>
      </c>
      <c r="G50" s="14">
        <v>1.87</v>
      </c>
      <c r="H50" s="14">
        <v>0.98</v>
      </c>
      <c r="I50" s="13">
        <v>962829.58750000002</v>
      </c>
      <c r="J50" s="15">
        <v>7</v>
      </c>
      <c r="K50" s="13">
        <v>15311830.857500028</v>
      </c>
      <c r="L50" s="13" t="s">
        <v>42</v>
      </c>
      <c r="M50" s="13" t="s">
        <v>42</v>
      </c>
      <c r="N50" s="179">
        <v>43831</v>
      </c>
      <c r="O50" s="16">
        <v>45658</v>
      </c>
      <c r="P50" s="13">
        <v>813318.52</v>
      </c>
      <c r="Q50" s="222" t="e">
        <v>#VALUE!</v>
      </c>
    </row>
    <row r="51" spans="1:17" x14ac:dyDescent="0.2">
      <c r="A51" s="4" t="s">
        <v>69</v>
      </c>
      <c r="B51" s="13">
        <v>238203233</v>
      </c>
      <c r="C51" s="13">
        <v>229569356.69999999</v>
      </c>
      <c r="D51" s="13">
        <v>8633876.3000000119</v>
      </c>
      <c r="E51" s="13">
        <v>5541774.5700000003</v>
      </c>
      <c r="F51" s="13">
        <v>5501208</v>
      </c>
      <c r="G51" s="14">
        <v>1.57</v>
      </c>
      <c r="H51" s="14">
        <v>1.01</v>
      </c>
      <c r="I51" s="13">
        <v>461814.54750000004</v>
      </c>
      <c r="J51" s="15">
        <v>1</v>
      </c>
      <c r="K51" s="13">
        <v>8172061.7525000116</v>
      </c>
      <c r="L51" s="13" t="s">
        <v>42</v>
      </c>
      <c r="M51" s="13" t="s">
        <v>42</v>
      </c>
      <c r="N51" s="179">
        <v>43647</v>
      </c>
      <c r="O51" s="16">
        <v>45474</v>
      </c>
      <c r="P51" s="13">
        <v>311727.28999999998</v>
      </c>
      <c r="Q51" s="222" t="e">
        <v>#VALUE!</v>
      </c>
    </row>
    <row r="52" spans="1:17" x14ac:dyDescent="0.2">
      <c r="A52" s="4" t="s">
        <v>70</v>
      </c>
      <c r="B52" s="13">
        <v>75470621</v>
      </c>
      <c r="C52" s="13">
        <v>71849493.099999994</v>
      </c>
      <c r="D52" s="18">
        <v>3621127.900000006</v>
      </c>
      <c r="E52" s="13">
        <v>1878111.63</v>
      </c>
      <c r="F52" s="13">
        <v>2752623</v>
      </c>
      <c r="G52" s="14">
        <v>1.32</v>
      </c>
      <c r="H52" s="14">
        <v>0.68</v>
      </c>
      <c r="I52" s="18">
        <v>156509.30249999999</v>
      </c>
      <c r="J52" s="15">
        <v>1</v>
      </c>
      <c r="K52" s="18">
        <v>3464618.5975000057</v>
      </c>
      <c r="L52" s="18" t="s">
        <v>42</v>
      </c>
      <c r="M52" s="18" t="s">
        <v>42</v>
      </c>
      <c r="N52" s="180">
        <v>43647</v>
      </c>
      <c r="O52" s="16">
        <v>45474</v>
      </c>
      <c r="P52" s="13">
        <v>29789.1</v>
      </c>
      <c r="Q52" s="222" t="e">
        <v>#VALUE!</v>
      </c>
    </row>
    <row r="53" spans="1:17" x14ac:dyDescent="0.25">
      <c r="A53" s="34" t="s">
        <v>71</v>
      </c>
      <c r="B53" s="31">
        <v>43056918036.709999</v>
      </c>
      <c r="C53" s="13">
        <v>39824806689.540001</v>
      </c>
      <c r="D53" s="31">
        <v>3232111347.1699982</v>
      </c>
      <c r="E53" s="13">
        <v>938172158.84000003</v>
      </c>
      <c r="F53" s="13">
        <v>981907757</v>
      </c>
      <c r="G53" s="14">
        <v>3.29</v>
      </c>
      <c r="H53" s="14">
        <v>0.96</v>
      </c>
      <c r="I53" s="31">
        <v>78181013.236666664</v>
      </c>
      <c r="J53" s="32"/>
      <c r="K53" s="33"/>
      <c r="L53" s="33"/>
      <c r="M53" s="33"/>
      <c r="N53" s="33"/>
      <c r="O53" s="33"/>
      <c r="P53" s="31">
        <v>64151160.559999987</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36</v>
      </c>
      <c r="H56" s="25"/>
    </row>
    <row r="57" spans="1:17" ht="27" customHeight="1" thickBot="1" x14ac:dyDescent="0.3">
      <c r="D57" s="228" t="s">
        <v>73</v>
      </c>
      <c r="E57" s="229"/>
      <c r="F57" s="229"/>
      <c r="G57" s="27"/>
      <c r="H57" s="28">
        <v>29</v>
      </c>
    </row>
  </sheetData>
  <mergeCells count="2">
    <mergeCell ref="D56:F56"/>
    <mergeCell ref="D57:F57"/>
  </mergeCells>
  <conditionalFormatting sqref="G54">
    <cfRule type="cellIs" dxfId="265" priority="13" stopIfTrue="1" operator="greaterThan">
      <formula>2.5</formula>
    </cfRule>
    <cfRule type="cellIs" dxfId="264" priority="14" stopIfTrue="1" operator="between">
      <formula>2.01</formula>
      <formula>2.5</formula>
    </cfRule>
  </conditionalFormatting>
  <conditionalFormatting sqref="H3:H53">
    <cfRule type="cellIs" dxfId="263" priority="12" stopIfTrue="1" operator="lessThan">
      <formula>1</formula>
    </cfRule>
  </conditionalFormatting>
  <conditionalFormatting sqref="G3:G53">
    <cfRule type="cellIs" dxfId="262" priority="10" stopIfTrue="1" operator="greaterThan">
      <formula>2.5</formula>
    </cfRule>
    <cfRule type="cellIs" dxfId="261" priority="11" stopIfTrue="1" operator="between">
      <formula>2.01</formula>
      <formula>2.5</formula>
    </cfRule>
  </conditionalFormatting>
  <conditionalFormatting sqref="K3:K52">
    <cfRule type="cellIs" dxfId="260" priority="8" stopIfTrue="1" operator="greaterThan">
      <formula>$F3*2.5</formula>
    </cfRule>
    <cfRule type="cellIs" dxfId="259" priority="9" stopIfTrue="1" operator="between">
      <formula>$F3*2</formula>
      <formula>$F3*2.5</formula>
    </cfRule>
  </conditionalFormatting>
  <conditionalFormatting sqref="G54">
    <cfRule type="cellIs" dxfId="258" priority="6" stopIfTrue="1" operator="greaterThan">
      <formula>2.5</formula>
    </cfRule>
    <cfRule type="cellIs" dxfId="257" priority="7" stopIfTrue="1" operator="between">
      <formula>2.01</formula>
      <formula>2.5</formula>
    </cfRule>
  </conditionalFormatting>
  <conditionalFormatting sqref="H3:H53">
    <cfRule type="cellIs" dxfId="256" priority="5" stopIfTrue="1" operator="lessThan">
      <formula>1</formula>
    </cfRule>
  </conditionalFormatting>
  <conditionalFormatting sqref="G3:G53">
    <cfRule type="cellIs" dxfId="255" priority="3" stopIfTrue="1" operator="greaterThan">
      <formula>2.5</formula>
    </cfRule>
    <cfRule type="cellIs" dxfId="254" priority="4" stopIfTrue="1" operator="between">
      <formula>2.01</formula>
      <formula>2.5</formula>
    </cfRule>
  </conditionalFormatting>
  <conditionalFormatting sqref="K3:K52">
    <cfRule type="cellIs" dxfId="253" priority="1" stopIfTrue="1" operator="greaterThan">
      <formula>$F3*2.5</formula>
    </cfRule>
    <cfRule type="cellIs" dxfId="252"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778AF-7372-4DBE-88D7-0FD89E03FD06}">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94</v>
      </c>
      <c r="B1" s="178" t="s">
        <v>95</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985330771.10000002</v>
      </c>
      <c r="D3" s="13">
        <v>154645166.35000002</v>
      </c>
      <c r="E3" s="13">
        <v>12555135.66</v>
      </c>
      <c r="F3" s="13">
        <v>24778539</v>
      </c>
      <c r="G3" s="14">
        <v>6.24</v>
      </c>
      <c r="H3" s="14">
        <v>0.51</v>
      </c>
      <c r="I3" s="13">
        <v>1046261.3050000001</v>
      </c>
      <c r="J3" s="15">
        <v>1</v>
      </c>
      <c r="K3" s="13">
        <v>153598905.04500002</v>
      </c>
      <c r="L3" s="13">
        <v>105088088.35000002</v>
      </c>
      <c r="M3" s="13">
        <v>92698818.850000024</v>
      </c>
      <c r="N3" s="179">
        <v>43647</v>
      </c>
      <c r="O3" s="16">
        <v>45474</v>
      </c>
      <c r="P3" s="13">
        <v>252507.44</v>
      </c>
      <c r="Q3" s="223" t="e">
        <v>#VALUE!</v>
      </c>
    </row>
    <row r="4" spans="1:17" x14ac:dyDescent="0.2">
      <c r="A4" s="4" t="s">
        <v>22</v>
      </c>
      <c r="B4" s="13">
        <v>708696383.32000005</v>
      </c>
      <c r="C4" s="13">
        <v>635002282.17999995</v>
      </c>
      <c r="D4" s="13">
        <v>73694101.140000105</v>
      </c>
      <c r="E4" s="13">
        <v>13361474.449999999</v>
      </c>
      <c r="F4" s="13">
        <v>13833071</v>
      </c>
      <c r="G4" s="14">
        <v>5.33</v>
      </c>
      <c r="H4" s="14">
        <v>0.97</v>
      </c>
      <c r="I4" s="13">
        <v>1113456.2041666666</v>
      </c>
      <c r="J4" s="15">
        <v>1</v>
      </c>
      <c r="K4" s="13">
        <v>72580644.935833439</v>
      </c>
      <c r="L4" s="13">
        <v>46027959.140000105</v>
      </c>
      <c r="M4" s="13">
        <v>39111423.640000105</v>
      </c>
      <c r="N4" s="179">
        <v>43647</v>
      </c>
      <c r="O4" s="16">
        <v>45474</v>
      </c>
      <c r="P4" s="13">
        <v>2192502.15</v>
      </c>
      <c r="Q4" s="222" t="e">
        <v>#VALUE!</v>
      </c>
    </row>
    <row r="5" spans="1:17" x14ac:dyDescent="0.2">
      <c r="A5" s="4" t="s">
        <v>21</v>
      </c>
      <c r="B5" s="13">
        <v>1788595890.3599999</v>
      </c>
      <c r="C5" s="13">
        <v>1542312922.28</v>
      </c>
      <c r="D5" s="13">
        <v>246282968.07999992</v>
      </c>
      <c r="E5" s="13">
        <v>39641687.979999997</v>
      </c>
      <c r="F5" s="13">
        <v>46272979</v>
      </c>
      <c r="G5" s="14">
        <v>5.32</v>
      </c>
      <c r="H5" s="14">
        <v>0.86</v>
      </c>
      <c r="I5" s="13">
        <v>3303473.9983333331</v>
      </c>
      <c r="J5" s="15">
        <v>7</v>
      </c>
      <c r="K5" s="13">
        <v>223158650.09166658</v>
      </c>
      <c r="L5" s="13">
        <v>21962430.011428561</v>
      </c>
      <c r="M5" s="13">
        <v>18657217.225714274</v>
      </c>
      <c r="N5" s="179">
        <v>43831</v>
      </c>
      <c r="O5" s="16">
        <v>45658</v>
      </c>
      <c r="P5" s="13">
        <v>6204178.1299999999</v>
      </c>
      <c r="Q5" s="222" t="e">
        <v>#VALUE!</v>
      </c>
    </row>
    <row r="6" spans="1:17" x14ac:dyDescent="0.2">
      <c r="A6" s="4" t="s">
        <v>24</v>
      </c>
      <c r="B6" s="13">
        <v>1469242870.97</v>
      </c>
      <c r="C6" s="13">
        <v>1295937448.8</v>
      </c>
      <c r="D6" s="13">
        <v>173305422.17000008</v>
      </c>
      <c r="E6" s="13">
        <v>18515624.079999998</v>
      </c>
      <c r="F6" s="13">
        <v>33073641</v>
      </c>
      <c r="G6" s="14">
        <v>5.24</v>
      </c>
      <c r="H6" s="14">
        <v>0.56000000000000005</v>
      </c>
      <c r="I6" s="13">
        <v>1542968.6733333331</v>
      </c>
      <c r="J6" s="15">
        <v>1</v>
      </c>
      <c r="K6" s="13">
        <v>171762453.49666673</v>
      </c>
      <c r="L6" s="13">
        <v>107158140.17000008</v>
      </c>
      <c r="M6" s="13">
        <v>90621319.670000076</v>
      </c>
      <c r="N6" s="179">
        <v>43647</v>
      </c>
      <c r="O6" s="16">
        <v>45474</v>
      </c>
      <c r="P6" s="13">
        <v>397770.83</v>
      </c>
      <c r="Q6" s="222" t="e">
        <v>#VALUE!</v>
      </c>
    </row>
    <row r="7" spans="1:17" x14ac:dyDescent="0.2">
      <c r="A7" s="4" t="s">
        <v>23</v>
      </c>
      <c r="B7" s="13">
        <v>1336273473.74</v>
      </c>
      <c r="C7" s="13">
        <v>1189683993.0899999</v>
      </c>
      <c r="D7" s="13">
        <v>146589480.6500001</v>
      </c>
      <c r="E7" s="13">
        <v>18425249.149999999</v>
      </c>
      <c r="F7" s="13">
        <v>29074134</v>
      </c>
      <c r="G7" s="14">
        <v>5.04</v>
      </c>
      <c r="H7" s="14">
        <v>0.63</v>
      </c>
      <c r="I7" s="13">
        <v>1535437.4291666665</v>
      </c>
      <c r="J7" s="15">
        <v>7</v>
      </c>
      <c r="K7" s="13">
        <v>135841418.64583343</v>
      </c>
      <c r="L7" s="13">
        <v>12634458.950000014</v>
      </c>
      <c r="M7" s="13">
        <v>10557735.092857156</v>
      </c>
      <c r="N7" s="179">
        <v>43831</v>
      </c>
      <c r="O7" s="16">
        <v>45658</v>
      </c>
      <c r="P7" s="13">
        <v>974918.89</v>
      </c>
      <c r="Q7" s="222" t="e">
        <v>#VALUE!</v>
      </c>
    </row>
    <row r="8" spans="1:17" x14ac:dyDescent="0.2">
      <c r="A8" s="4" t="s">
        <v>26</v>
      </c>
      <c r="B8" s="13">
        <v>120899760.39</v>
      </c>
      <c r="C8" s="13">
        <v>104445062.28</v>
      </c>
      <c r="D8" s="13">
        <v>16454698.109999999</v>
      </c>
      <c r="E8" s="13">
        <v>1773705.59</v>
      </c>
      <c r="F8" s="13">
        <v>3521015</v>
      </c>
      <c r="G8" s="14">
        <v>4.67</v>
      </c>
      <c r="H8" s="14">
        <v>0.5</v>
      </c>
      <c r="I8" s="13">
        <v>147808.79916666666</v>
      </c>
      <c r="J8" s="15">
        <v>7</v>
      </c>
      <c r="K8" s="13">
        <v>15420036.515833333</v>
      </c>
      <c r="L8" s="13">
        <v>1344666.8728571427</v>
      </c>
      <c r="M8" s="13">
        <v>1093165.8014285713</v>
      </c>
      <c r="N8" s="179">
        <v>43831</v>
      </c>
      <c r="O8" s="16">
        <v>45658</v>
      </c>
      <c r="P8" s="13">
        <v>24831.85</v>
      </c>
      <c r="Q8" s="222" t="e">
        <v>#VALUE!</v>
      </c>
    </row>
    <row r="9" spans="1:17" x14ac:dyDescent="0.2">
      <c r="A9" s="4" t="s">
        <v>31</v>
      </c>
      <c r="B9" s="13">
        <v>493558716</v>
      </c>
      <c r="C9" s="13">
        <v>447115117.83999997</v>
      </c>
      <c r="D9" s="13">
        <v>46443598.160000026</v>
      </c>
      <c r="E9" s="13">
        <v>8332854.1900000004</v>
      </c>
      <c r="F9" s="13">
        <v>11038481</v>
      </c>
      <c r="G9" s="14">
        <v>4.21</v>
      </c>
      <c r="H9" s="14">
        <v>0.75</v>
      </c>
      <c r="I9" s="13">
        <v>694404.51583333337</v>
      </c>
      <c r="J9" s="15">
        <v>7</v>
      </c>
      <c r="K9" s="13">
        <v>41582766.549166694</v>
      </c>
      <c r="L9" s="13">
        <v>3480948.0228571468</v>
      </c>
      <c r="M9" s="13">
        <v>2692485.0942857182</v>
      </c>
      <c r="N9" s="179">
        <v>43831</v>
      </c>
      <c r="O9" s="16">
        <v>45658</v>
      </c>
      <c r="P9" s="13">
        <v>1377314.19</v>
      </c>
      <c r="Q9" s="222" t="e">
        <v>#VALUE!</v>
      </c>
    </row>
    <row r="10" spans="1:17" x14ac:dyDescent="0.2">
      <c r="A10" s="4" t="s">
        <v>40</v>
      </c>
      <c r="B10" s="13">
        <v>203184695.25999999</v>
      </c>
      <c r="C10" s="13">
        <v>179764529.81999999</v>
      </c>
      <c r="D10" s="13">
        <v>23420165.439999998</v>
      </c>
      <c r="E10" s="13">
        <v>5843312.4900000002</v>
      </c>
      <c r="F10" s="13">
        <v>5655134</v>
      </c>
      <c r="G10" s="14">
        <v>4.1399999999999997</v>
      </c>
      <c r="H10" s="14">
        <v>1.03</v>
      </c>
      <c r="I10" s="13">
        <v>486942.70750000002</v>
      </c>
      <c r="J10" s="15">
        <v>1</v>
      </c>
      <c r="K10" s="13">
        <v>22933222.732499998</v>
      </c>
      <c r="L10" s="13">
        <v>12109897.439999998</v>
      </c>
      <c r="M10" s="13">
        <v>9282330.4399999976</v>
      </c>
      <c r="N10" s="179">
        <v>43647</v>
      </c>
      <c r="O10" s="16">
        <v>45474</v>
      </c>
      <c r="P10" s="13">
        <v>109269.6</v>
      </c>
      <c r="Q10" s="222" t="e">
        <v>#VALUE!</v>
      </c>
    </row>
    <row r="11" spans="1:17" x14ac:dyDescent="0.2">
      <c r="A11" s="4" t="s">
        <v>25</v>
      </c>
      <c r="B11" s="13">
        <v>265120500</v>
      </c>
      <c r="C11" s="13">
        <v>239771345.74000001</v>
      </c>
      <c r="D11" s="13">
        <v>25349154.25999999</v>
      </c>
      <c r="E11" s="13">
        <v>8536086.4299999997</v>
      </c>
      <c r="F11" s="13">
        <v>6172506</v>
      </c>
      <c r="G11" s="14">
        <v>4.1100000000000003</v>
      </c>
      <c r="H11" s="14">
        <v>1.38</v>
      </c>
      <c r="I11" s="13">
        <v>711340.53583333327</v>
      </c>
      <c r="J11" s="15">
        <v>0</v>
      </c>
      <c r="K11" s="13">
        <v>25349154.25999999</v>
      </c>
      <c r="L11" s="13" t="s">
        <v>20</v>
      </c>
      <c r="M11" s="13" t="s">
        <v>20</v>
      </c>
      <c r="N11" s="179">
        <v>43922</v>
      </c>
      <c r="O11" s="16">
        <v>45383</v>
      </c>
      <c r="P11" s="13">
        <v>305055.44</v>
      </c>
      <c r="Q11" s="222" t="e">
        <v>#VALUE!</v>
      </c>
    </row>
    <row r="12" spans="1:17" x14ac:dyDescent="0.2">
      <c r="A12" s="4" t="s">
        <v>27</v>
      </c>
      <c r="B12" s="13">
        <v>853256279</v>
      </c>
      <c r="C12" s="13">
        <v>775958768.50999999</v>
      </c>
      <c r="D12" s="13">
        <v>77297510.49000001</v>
      </c>
      <c r="E12" s="13">
        <v>18506978.829999998</v>
      </c>
      <c r="F12" s="13">
        <v>18836467</v>
      </c>
      <c r="G12" s="14">
        <v>4.0999999999999996</v>
      </c>
      <c r="H12" s="14">
        <v>0.98</v>
      </c>
      <c r="I12" s="13">
        <v>1542248.2358333331</v>
      </c>
      <c r="J12" s="15">
        <v>4</v>
      </c>
      <c r="K12" s="13">
        <v>71128517.546666682</v>
      </c>
      <c r="L12" s="13">
        <v>9906144.1225000024</v>
      </c>
      <c r="M12" s="13">
        <v>7551585.7475000024</v>
      </c>
      <c r="N12" s="179">
        <v>43739</v>
      </c>
      <c r="O12" s="16">
        <v>45566</v>
      </c>
      <c r="P12" s="13">
        <v>1198287.8799999999</v>
      </c>
      <c r="Q12" s="222" t="e">
        <v>#VALUE!</v>
      </c>
    </row>
    <row r="13" spans="1:17" x14ac:dyDescent="0.2">
      <c r="A13" s="4" t="s">
        <v>28</v>
      </c>
      <c r="B13" s="13">
        <v>1945106991</v>
      </c>
      <c r="C13" s="13">
        <v>1854699030.27</v>
      </c>
      <c r="D13" s="13">
        <v>90407960.730000019</v>
      </c>
      <c r="E13" s="13">
        <v>20461044.809999999</v>
      </c>
      <c r="F13" s="13">
        <v>22131554</v>
      </c>
      <c r="G13" s="14">
        <v>4.09</v>
      </c>
      <c r="H13" s="14">
        <v>0.92</v>
      </c>
      <c r="I13" s="13">
        <v>1705087.0674999999</v>
      </c>
      <c r="J13" s="15">
        <v>1</v>
      </c>
      <c r="K13" s="13">
        <v>88702873.662500024</v>
      </c>
      <c r="L13" s="13">
        <v>46144852.730000019</v>
      </c>
      <c r="M13" s="13">
        <v>35079075.730000019</v>
      </c>
      <c r="N13" s="179">
        <v>43647</v>
      </c>
      <c r="O13" s="16">
        <v>45474</v>
      </c>
      <c r="P13" s="13">
        <v>1126476.48</v>
      </c>
      <c r="Q13" s="222" t="e">
        <v>#VALUE!</v>
      </c>
    </row>
    <row r="14" spans="1:17" x14ac:dyDescent="0.2">
      <c r="A14" s="4" t="s">
        <v>37</v>
      </c>
      <c r="B14" s="13">
        <v>187480557</v>
      </c>
      <c r="C14" s="13">
        <v>173244238.41</v>
      </c>
      <c r="D14" s="13">
        <v>14236318.590000004</v>
      </c>
      <c r="E14" s="13">
        <v>2906394.26</v>
      </c>
      <c r="F14" s="13">
        <v>3515583</v>
      </c>
      <c r="G14" s="14">
        <v>4.05</v>
      </c>
      <c r="H14" s="14">
        <v>0.83</v>
      </c>
      <c r="I14" s="13">
        <v>242199.52166666664</v>
      </c>
      <c r="J14" s="15">
        <v>1</v>
      </c>
      <c r="K14" s="13">
        <v>13994119.068333337</v>
      </c>
      <c r="L14" s="13">
        <v>7205152.5900000036</v>
      </c>
      <c r="M14" s="13">
        <v>5447361.0900000036</v>
      </c>
      <c r="N14" s="179">
        <v>43647</v>
      </c>
      <c r="O14" s="16">
        <v>45474</v>
      </c>
      <c r="P14" s="13">
        <v>0</v>
      </c>
      <c r="Q14" s="222" t="e">
        <v>#VALUE!</v>
      </c>
    </row>
    <row r="15" spans="1:17" x14ac:dyDescent="0.2">
      <c r="A15" s="4" t="s">
        <v>32</v>
      </c>
      <c r="B15" s="13">
        <v>1168142277.4400001</v>
      </c>
      <c r="C15" s="13">
        <v>1063925749.79</v>
      </c>
      <c r="D15" s="13">
        <v>104216527.6500001</v>
      </c>
      <c r="E15" s="13">
        <v>20303999.800000001</v>
      </c>
      <c r="F15" s="13">
        <v>26355588</v>
      </c>
      <c r="G15" s="14">
        <v>3.95</v>
      </c>
      <c r="H15" s="14">
        <v>0.77</v>
      </c>
      <c r="I15" s="13">
        <v>1691999.9833333334</v>
      </c>
      <c r="J15" s="15">
        <v>1</v>
      </c>
      <c r="K15" s="13">
        <v>102524527.66666676</v>
      </c>
      <c r="L15" s="13">
        <v>51505351.650000095</v>
      </c>
      <c r="M15" s="13">
        <v>38327557.650000095</v>
      </c>
      <c r="N15" s="179">
        <v>43647</v>
      </c>
      <c r="O15" s="16">
        <v>45474</v>
      </c>
      <c r="P15" s="13">
        <v>1725758</v>
      </c>
      <c r="Q15" s="222" t="e">
        <v>#VALUE!</v>
      </c>
    </row>
    <row r="16" spans="1:17" x14ac:dyDescent="0.2">
      <c r="A16" s="4" t="s">
        <v>34</v>
      </c>
      <c r="B16" s="13">
        <v>1438428739.9100001</v>
      </c>
      <c r="C16" s="13">
        <v>1323388523.03</v>
      </c>
      <c r="D16" s="13">
        <v>115040216.88000011</v>
      </c>
      <c r="E16" s="13">
        <v>27650808.359999999</v>
      </c>
      <c r="F16" s="13">
        <v>30065955</v>
      </c>
      <c r="G16" s="14">
        <v>3.83</v>
      </c>
      <c r="H16" s="14">
        <v>0.92</v>
      </c>
      <c r="I16" s="13">
        <v>2304234.0299999998</v>
      </c>
      <c r="J16" s="15">
        <v>1</v>
      </c>
      <c r="K16" s="13">
        <v>112735982.85000011</v>
      </c>
      <c r="L16" s="13">
        <v>54908306.880000114</v>
      </c>
      <c r="M16" s="13">
        <v>39875329.380000114</v>
      </c>
      <c r="N16" s="179">
        <v>43647</v>
      </c>
      <c r="O16" s="16">
        <v>45474</v>
      </c>
      <c r="P16" s="13">
        <v>4385749.99</v>
      </c>
      <c r="Q16" s="222" t="e">
        <v>#VALUE!</v>
      </c>
    </row>
    <row r="17" spans="1:17" x14ac:dyDescent="0.2">
      <c r="A17" s="4" t="s">
        <v>29</v>
      </c>
      <c r="B17" s="13">
        <v>800464324.92999995</v>
      </c>
      <c r="C17" s="13">
        <v>734038679.71000004</v>
      </c>
      <c r="D17" s="13">
        <v>66425645.219999909</v>
      </c>
      <c r="E17" s="13">
        <v>20458275.91</v>
      </c>
      <c r="F17" s="13">
        <v>17480755</v>
      </c>
      <c r="G17" s="14">
        <v>3.8</v>
      </c>
      <c r="H17" s="14">
        <v>1.17</v>
      </c>
      <c r="I17" s="13">
        <v>1704856.3258333334</v>
      </c>
      <c r="J17" s="15">
        <v>1</v>
      </c>
      <c r="K17" s="13">
        <v>64720788.894166574</v>
      </c>
      <c r="L17" s="13">
        <v>31464135.219999909</v>
      </c>
      <c r="M17" s="13">
        <v>22723757.719999909</v>
      </c>
      <c r="N17" s="179">
        <v>43647</v>
      </c>
      <c r="O17" s="16">
        <v>45474</v>
      </c>
      <c r="P17" s="13">
        <v>2042166.87</v>
      </c>
      <c r="Q17" s="222" t="e">
        <v>#VALUE!</v>
      </c>
    </row>
    <row r="18" spans="1:17" x14ac:dyDescent="0.2">
      <c r="A18" s="4" t="s">
        <v>35</v>
      </c>
      <c r="B18" s="13">
        <v>794219275</v>
      </c>
      <c r="C18" s="13">
        <v>721598739.29999995</v>
      </c>
      <c r="D18" s="13">
        <v>72620535.700000048</v>
      </c>
      <c r="E18" s="13">
        <v>14583635</v>
      </c>
      <c r="F18" s="13">
        <v>19107637</v>
      </c>
      <c r="G18" s="14">
        <v>3.8</v>
      </c>
      <c r="H18" s="14">
        <v>0.76</v>
      </c>
      <c r="I18" s="13">
        <v>1215302.9166666667</v>
      </c>
      <c r="J18" s="15">
        <v>1</v>
      </c>
      <c r="K18" s="13">
        <v>71405232.783333376</v>
      </c>
      <c r="L18" s="13">
        <v>34405261.700000048</v>
      </c>
      <c r="M18" s="13">
        <v>24851443.200000048</v>
      </c>
      <c r="N18" s="179">
        <v>43647</v>
      </c>
      <c r="O18" s="16">
        <v>45474</v>
      </c>
      <c r="P18" s="13">
        <v>1566920.73</v>
      </c>
      <c r="Q18" s="222" t="e">
        <v>#VALUE!</v>
      </c>
    </row>
    <row r="19" spans="1:17" x14ac:dyDescent="0.2">
      <c r="A19" s="4" t="s">
        <v>39</v>
      </c>
      <c r="B19" s="13">
        <v>500565228.91000003</v>
      </c>
      <c r="C19" s="13">
        <v>461131591.19999999</v>
      </c>
      <c r="D19" s="13">
        <v>39433637.710000038</v>
      </c>
      <c r="E19" s="13">
        <v>5991238.25</v>
      </c>
      <c r="F19" s="13">
        <v>10539100</v>
      </c>
      <c r="G19" s="14">
        <v>3.74</v>
      </c>
      <c r="H19" s="14">
        <v>0.56999999999999995</v>
      </c>
      <c r="I19" s="13">
        <v>499269.85416666669</v>
      </c>
      <c r="J19" s="15">
        <v>1</v>
      </c>
      <c r="K19" s="13">
        <v>38934367.855833374</v>
      </c>
      <c r="L19" s="13">
        <v>18355437.710000038</v>
      </c>
      <c r="M19" s="13">
        <v>13085887.710000038</v>
      </c>
      <c r="N19" s="179">
        <v>43647</v>
      </c>
      <c r="O19" s="16">
        <v>45474</v>
      </c>
      <c r="P19" s="13">
        <v>245390.23</v>
      </c>
      <c r="Q19" s="222" t="e">
        <v>#VALUE!</v>
      </c>
    </row>
    <row r="20" spans="1:17" x14ac:dyDescent="0.2">
      <c r="A20" s="4" t="s">
        <v>30</v>
      </c>
      <c r="B20" s="13">
        <v>1022430792.45</v>
      </c>
      <c r="C20" s="13">
        <v>949724829.03999996</v>
      </c>
      <c r="D20" s="13">
        <v>72705963.410000086</v>
      </c>
      <c r="E20" s="13">
        <v>25123646.18</v>
      </c>
      <c r="F20" s="13">
        <v>19809810</v>
      </c>
      <c r="G20" s="14">
        <v>3.67</v>
      </c>
      <c r="H20" s="14">
        <v>1.27</v>
      </c>
      <c r="I20" s="13">
        <v>2093637.1816666666</v>
      </c>
      <c r="J20" s="15">
        <v>0</v>
      </c>
      <c r="K20" s="13">
        <v>72705963.410000086</v>
      </c>
      <c r="L20" s="13" t="s">
        <v>20</v>
      </c>
      <c r="M20" s="13" t="s">
        <v>20</v>
      </c>
      <c r="N20" s="179">
        <v>43922</v>
      </c>
      <c r="O20" s="16">
        <v>45383</v>
      </c>
      <c r="P20" s="13">
        <v>2241502</v>
      </c>
      <c r="Q20" s="222" t="e">
        <v>#VALUE!</v>
      </c>
    </row>
    <row r="21" spans="1:17" x14ac:dyDescent="0.2">
      <c r="A21" s="4" t="s">
        <v>47</v>
      </c>
      <c r="B21" s="13">
        <v>104394118</v>
      </c>
      <c r="C21" s="13">
        <v>95319723.849999994</v>
      </c>
      <c r="D21" s="13">
        <v>9074394.150000006</v>
      </c>
      <c r="E21" s="13">
        <v>1606592.24</v>
      </c>
      <c r="F21" s="13">
        <v>2677355</v>
      </c>
      <c r="G21" s="14">
        <v>3.39</v>
      </c>
      <c r="H21" s="14">
        <v>0.6</v>
      </c>
      <c r="I21" s="13">
        <v>133882.68666666668</v>
      </c>
      <c r="J21" s="15">
        <v>1</v>
      </c>
      <c r="K21" s="13">
        <v>8940511.4633333385</v>
      </c>
      <c r="L21" s="13">
        <v>3719684.150000006</v>
      </c>
      <c r="M21" s="13">
        <v>2381006.650000006</v>
      </c>
      <c r="N21" s="179">
        <v>43647</v>
      </c>
      <c r="O21" s="16">
        <v>45474</v>
      </c>
      <c r="P21" s="13">
        <v>101456.26</v>
      </c>
      <c r="Q21" s="222" t="e">
        <v>#VALUE!</v>
      </c>
    </row>
    <row r="22" spans="1:17" x14ac:dyDescent="0.2">
      <c r="A22" s="4" t="s">
        <v>44</v>
      </c>
      <c r="B22" s="13">
        <v>300551063.33999997</v>
      </c>
      <c r="C22" s="13">
        <v>277705099.94999999</v>
      </c>
      <c r="D22" s="13">
        <v>22845963.389999986</v>
      </c>
      <c r="E22" s="13">
        <v>10797107.699999999</v>
      </c>
      <c r="F22" s="13">
        <v>6730317</v>
      </c>
      <c r="G22" s="14">
        <v>3.39</v>
      </c>
      <c r="H22" s="14">
        <v>1.6</v>
      </c>
      <c r="I22" s="13">
        <v>899758.97499999998</v>
      </c>
      <c r="J22" s="15">
        <v>1</v>
      </c>
      <c r="K22" s="13">
        <v>21946204.414999984</v>
      </c>
      <c r="L22" s="13">
        <v>9385329.3899999857</v>
      </c>
      <c r="M22" s="13">
        <v>6020170.8899999857</v>
      </c>
      <c r="N22" s="179">
        <v>43647</v>
      </c>
      <c r="O22" s="16">
        <v>45474</v>
      </c>
      <c r="P22" s="13">
        <v>1554084.61</v>
      </c>
      <c r="Q22" s="222" t="e">
        <v>#VALUE!</v>
      </c>
    </row>
    <row r="23" spans="1:17" x14ac:dyDescent="0.2">
      <c r="A23" s="4" t="s">
        <v>33</v>
      </c>
      <c r="B23" s="13">
        <v>1010324720</v>
      </c>
      <c r="C23" s="13">
        <v>933309329.44000006</v>
      </c>
      <c r="D23" s="13">
        <v>77015390.559999943</v>
      </c>
      <c r="E23" s="13">
        <v>31569289.68</v>
      </c>
      <c r="F23" s="13">
        <v>23059848</v>
      </c>
      <c r="G23" s="14">
        <v>3.34</v>
      </c>
      <c r="H23" s="14">
        <v>1.37</v>
      </c>
      <c r="I23" s="13">
        <v>2630774.14</v>
      </c>
      <c r="J23" s="15">
        <v>0</v>
      </c>
      <c r="K23" s="13">
        <v>77015390.559999943</v>
      </c>
      <c r="L23" s="13" t="s">
        <v>20</v>
      </c>
      <c r="M23" s="13" t="s">
        <v>20</v>
      </c>
      <c r="N23" s="179">
        <v>43922</v>
      </c>
      <c r="O23" s="16">
        <v>45383</v>
      </c>
      <c r="P23" s="13">
        <v>1280307.3700000001</v>
      </c>
      <c r="Q23" s="222" t="e">
        <v>#VALUE!</v>
      </c>
    </row>
    <row r="24" spans="1:17" x14ac:dyDescent="0.2">
      <c r="A24" s="4" t="s">
        <v>43</v>
      </c>
      <c r="B24" s="13">
        <v>254239457</v>
      </c>
      <c r="C24" s="13">
        <v>235382327.47999999</v>
      </c>
      <c r="D24" s="13">
        <v>18857129.520000011</v>
      </c>
      <c r="E24" s="13">
        <v>4614705.42</v>
      </c>
      <c r="F24" s="13">
        <v>5680880</v>
      </c>
      <c r="G24" s="14">
        <v>3.32</v>
      </c>
      <c r="H24" s="14">
        <v>0.81</v>
      </c>
      <c r="I24" s="13">
        <v>384558.78499999997</v>
      </c>
      <c r="J24" s="15">
        <v>7</v>
      </c>
      <c r="K24" s="13">
        <v>16165218.025000012</v>
      </c>
      <c r="L24" s="13">
        <v>1070767.0742857158</v>
      </c>
      <c r="M24" s="13">
        <v>664989.93142857298</v>
      </c>
      <c r="N24" s="179">
        <v>43831</v>
      </c>
      <c r="O24" s="16">
        <v>45658</v>
      </c>
      <c r="P24" s="13">
        <v>272477.53999999998</v>
      </c>
      <c r="Q24" s="222" t="e">
        <v>#VALUE!</v>
      </c>
    </row>
    <row r="25" spans="1:17" x14ac:dyDescent="0.2">
      <c r="A25" s="4" t="s">
        <v>45</v>
      </c>
      <c r="B25" s="13">
        <v>2001064841.29</v>
      </c>
      <c r="C25" s="13">
        <v>1873943415.6199999</v>
      </c>
      <c r="D25" s="13">
        <v>127121425.67000008</v>
      </c>
      <c r="E25" s="13">
        <v>38461554.93</v>
      </c>
      <c r="F25" s="13">
        <v>40779947</v>
      </c>
      <c r="G25" s="14">
        <v>3.12</v>
      </c>
      <c r="H25" s="14">
        <v>0.94</v>
      </c>
      <c r="I25" s="13">
        <v>3205129.5775000001</v>
      </c>
      <c r="J25" s="15">
        <v>7</v>
      </c>
      <c r="K25" s="13">
        <v>104685518.62750007</v>
      </c>
      <c r="L25" s="13">
        <v>6508790.2385714399</v>
      </c>
      <c r="M25" s="13">
        <v>3595936.8814285821</v>
      </c>
      <c r="N25" s="179">
        <v>43831</v>
      </c>
      <c r="O25" s="16">
        <v>45658</v>
      </c>
      <c r="P25" s="13">
        <v>2208583.5</v>
      </c>
      <c r="Q25" s="222" t="e">
        <v>#VALUE!</v>
      </c>
    </row>
    <row r="26" spans="1:17" x14ac:dyDescent="0.2">
      <c r="A26" s="4" t="s">
        <v>51</v>
      </c>
      <c r="B26" s="13">
        <v>1059732308</v>
      </c>
      <c r="C26" s="13">
        <v>985203499.45000005</v>
      </c>
      <c r="D26" s="13">
        <v>74528808.549999952</v>
      </c>
      <c r="E26" s="13">
        <v>16573135.300000001</v>
      </c>
      <c r="F26" s="13">
        <v>24168777</v>
      </c>
      <c r="G26" s="14">
        <v>3.08</v>
      </c>
      <c r="H26" s="14">
        <v>0.69</v>
      </c>
      <c r="I26" s="13">
        <v>1381094.6083333334</v>
      </c>
      <c r="J26" s="15">
        <v>7</v>
      </c>
      <c r="K26" s="13">
        <v>64861146.291666619</v>
      </c>
      <c r="L26" s="13">
        <v>3741607.7928571361</v>
      </c>
      <c r="M26" s="13">
        <v>2015266.5785714218</v>
      </c>
      <c r="N26" s="179">
        <v>43831</v>
      </c>
      <c r="O26" s="16">
        <v>45658</v>
      </c>
      <c r="P26" s="13">
        <v>1547998.46</v>
      </c>
      <c r="Q26" s="222" t="e">
        <v>#VALUE!</v>
      </c>
    </row>
    <row r="27" spans="1:17" x14ac:dyDescent="0.2">
      <c r="A27" s="4" t="s">
        <v>41</v>
      </c>
      <c r="B27" s="13">
        <v>1228777673.53</v>
      </c>
      <c r="C27" s="13">
        <v>1085205063.1600001</v>
      </c>
      <c r="D27" s="13">
        <v>143572610.36999989</v>
      </c>
      <c r="E27" s="13">
        <v>54387063.240000002</v>
      </c>
      <c r="F27" s="13">
        <v>47456120</v>
      </c>
      <c r="G27" s="14">
        <v>3.03</v>
      </c>
      <c r="H27" s="14">
        <v>1.1499999999999999</v>
      </c>
      <c r="I27" s="13">
        <v>4532255.2700000005</v>
      </c>
      <c r="J27" s="15">
        <v>7</v>
      </c>
      <c r="K27" s="13">
        <v>111846823.47999988</v>
      </c>
      <c r="L27" s="13">
        <v>6951481.4814285552</v>
      </c>
      <c r="M27" s="13" t="s">
        <v>42</v>
      </c>
      <c r="N27" s="179">
        <v>43831</v>
      </c>
      <c r="O27" s="16">
        <v>45658</v>
      </c>
      <c r="P27" s="13">
        <v>2134771.17</v>
      </c>
      <c r="Q27" s="222" t="e">
        <v>#VALUE!</v>
      </c>
    </row>
    <row r="28" spans="1:17" x14ac:dyDescent="0.2">
      <c r="A28" s="4" t="s">
        <v>46</v>
      </c>
      <c r="B28" s="13">
        <v>314446387.48000002</v>
      </c>
      <c r="C28" s="13">
        <v>289463907.63</v>
      </c>
      <c r="D28" s="13">
        <v>24982479.850000024</v>
      </c>
      <c r="E28" s="13">
        <v>8418087.5399999991</v>
      </c>
      <c r="F28" s="13">
        <v>8369791</v>
      </c>
      <c r="G28" s="14">
        <v>2.98</v>
      </c>
      <c r="H28" s="14">
        <v>1.01</v>
      </c>
      <c r="I28" s="13">
        <v>701507.29499999993</v>
      </c>
      <c r="J28" s="15">
        <v>1</v>
      </c>
      <c r="K28" s="13">
        <v>24280972.555000022</v>
      </c>
      <c r="L28" s="13">
        <v>8242897.8500000238</v>
      </c>
      <c r="M28" s="13">
        <v>4058002.3500000238</v>
      </c>
      <c r="N28" s="179">
        <v>43647</v>
      </c>
      <c r="O28" s="16">
        <v>45474</v>
      </c>
      <c r="P28" s="13">
        <v>214651.05</v>
      </c>
      <c r="Q28" s="222" t="e">
        <v>#VALUE!</v>
      </c>
    </row>
    <row r="29" spans="1:17" x14ac:dyDescent="0.2">
      <c r="A29" s="4" t="s">
        <v>50</v>
      </c>
      <c r="B29" s="13">
        <v>1642297566.0699999</v>
      </c>
      <c r="C29" s="13">
        <v>1521966126.8699999</v>
      </c>
      <c r="D29" s="13">
        <v>120331439.20000005</v>
      </c>
      <c r="E29" s="13">
        <v>37604886.920000002</v>
      </c>
      <c r="F29" s="13">
        <v>40984884</v>
      </c>
      <c r="G29" s="14">
        <v>2.94</v>
      </c>
      <c r="H29" s="14">
        <v>0.92</v>
      </c>
      <c r="I29" s="13">
        <v>3133740.5766666667</v>
      </c>
      <c r="J29" s="15">
        <v>1</v>
      </c>
      <c r="K29" s="13">
        <v>117197698.62333338</v>
      </c>
      <c r="L29" s="13">
        <v>38361671.200000048</v>
      </c>
      <c r="M29" s="13">
        <v>17869229.200000048</v>
      </c>
      <c r="N29" s="179">
        <v>43647</v>
      </c>
      <c r="O29" s="16">
        <v>45474</v>
      </c>
      <c r="P29" s="13">
        <v>3033173.84</v>
      </c>
      <c r="Q29" s="222" t="e">
        <v>#VALUE!</v>
      </c>
    </row>
    <row r="30" spans="1:17" x14ac:dyDescent="0.2">
      <c r="A30" s="4" t="s">
        <v>49</v>
      </c>
      <c r="B30" s="13">
        <v>1239472339.1700001</v>
      </c>
      <c r="C30" s="13">
        <v>1168600702.54</v>
      </c>
      <c r="D30" s="13">
        <v>70871636.630000114</v>
      </c>
      <c r="E30" s="13">
        <v>21456851.190000001</v>
      </c>
      <c r="F30" s="13">
        <v>24088947</v>
      </c>
      <c r="G30" s="14">
        <v>2.94</v>
      </c>
      <c r="H30" s="14">
        <v>0.89</v>
      </c>
      <c r="I30" s="13">
        <v>1788070.9325000001</v>
      </c>
      <c r="J30" s="15">
        <v>1</v>
      </c>
      <c r="K30" s="13">
        <v>69083565.69750011</v>
      </c>
      <c r="L30" s="13">
        <v>22693742.630000114</v>
      </c>
      <c r="M30" s="13">
        <v>10649269.130000114</v>
      </c>
      <c r="N30" s="179">
        <v>43647</v>
      </c>
      <c r="O30" s="16">
        <v>45474</v>
      </c>
      <c r="P30" s="13">
        <v>1988596.22</v>
      </c>
      <c r="Q30" s="222" t="e">
        <v>#VALUE!</v>
      </c>
    </row>
    <row r="31" spans="1:17" x14ac:dyDescent="0.2">
      <c r="A31" s="4" t="s">
        <v>55</v>
      </c>
      <c r="B31" s="13">
        <v>675052951</v>
      </c>
      <c r="C31" s="13">
        <v>633192601.21000004</v>
      </c>
      <c r="D31" s="13">
        <v>41860349.789999962</v>
      </c>
      <c r="E31" s="13">
        <v>10031558.73</v>
      </c>
      <c r="F31" s="13">
        <v>14786581</v>
      </c>
      <c r="G31" s="14">
        <v>2.83</v>
      </c>
      <c r="H31" s="14">
        <v>0.68</v>
      </c>
      <c r="I31" s="13">
        <v>835963.22750000004</v>
      </c>
      <c r="J31" s="15">
        <v>7</v>
      </c>
      <c r="K31" s="13">
        <v>36008607.197499961</v>
      </c>
      <c r="L31" s="13">
        <v>1755312.541428566</v>
      </c>
      <c r="M31" s="13" t="s">
        <v>42</v>
      </c>
      <c r="N31" s="179">
        <v>43466</v>
      </c>
      <c r="O31" s="16">
        <v>45658</v>
      </c>
      <c r="P31" s="13">
        <v>640395.59</v>
      </c>
      <c r="Q31" s="222" t="e">
        <v>#VALUE!</v>
      </c>
    </row>
    <row r="32" spans="1:17" x14ac:dyDescent="0.2">
      <c r="A32" s="4" t="s">
        <v>36</v>
      </c>
      <c r="B32" s="13">
        <v>392634217.93000001</v>
      </c>
      <c r="C32" s="13">
        <v>366389821.02999997</v>
      </c>
      <c r="D32" s="13">
        <v>26244396.900000036</v>
      </c>
      <c r="E32" s="13">
        <v>16882787.969999999</v>
      </c>
      <c r="F32" s="13">
        <v>9305817</v>
      </c>
      <c r="G32" s="14">
        <v>2.82</v>
      </c>
      <c r="H32" s="14">
        <v>1.81</v>
      </c>
      <c r="I32" s="13">
        <v>1406898.9974999998</v>
      </c>
      <c r="J32" s="15">
        <v>0</v>
      </c>
      <c r="K32" s="13">
        <v>26244396.900000036</v>
      </c>
      <c r="L32" s="13" t="s">
        <v>20</v>
      </c>
      <c r="M32" s="13" t="s">
        <v>20</v>
      </c>
      <c r="N32" s="179">
        <v>43556</v>
      </c>
      <c r="O32" s="16">
        <v>45383</v>
      </c>
      <c r="P32" s="13">
        <v>613509.91</v>
      </c>
      <c r="Q32" s="222" t="e">
        <v>#VALUE!</v>
      </c>
    </row>
    <row r="33" spans="1:17" x14ac:dyDescent="0.2">
      <c r="A33" s="4" t="s">
        <v>38</v>
      </c>
      <c r="B33" s="13">
        <v>528328839.02999997</v>
      </c>
      <c r="C33" s="13">
        <v>490180864.73000002</v>
      </c>
      <c r="D33" s="13">
        <v>38147974.299999952</v>
      </c>
      <c r="E33" s="13">
        <v>21700267.129999999</v>
      </c>
      <c r="F33" s="13">
        <v>13880022</v>
      </c>
      <c r="G33" s="14">
        <v>2.75</v>
      </c>
      <c r="H33" s="14">
        <v>1.56</v>
      </c>
      <c r="I33" s="13">
        <v>1808355.5941666665</v>
      </c>
      <c r="J33" s="15">
        <v>1</v>
      </c>
      <c r="K33" s="13">
        <v>36339618.705833286</v>
      </c>
      <c r="L33" s="13">
        <v>10387930.299999952</v>
      </c>
      <c r="M33" s="13">
        <v>3447919.2999999523</v>
      </c>
      <c r="N33" s="179">
        <v>43647</v>
      </c>
      <c r="O33" s="16">
        <v>45474</v>
      </c>
      <c r="P33" s="13">
        <v>0</v>
      </c>
      <c r="Q33" s="222" t="e">
        <v>#VALUE!</v>
      </c>
    </row>
    <row r="34" spans="1:17" x14ac:dyDescent="0.2">
      <c r="A34" s="4" t="s">
        <v>56</v>
      </c>
      <c r="B34" s="13">
        <v>1154905413</v>
      </c>
      <c r="C34" s="13">
        <v>1079392075.2</v>
      </c>
      <c r="D34" s="13">
        <v>75513337.799999952</v>
      </c>
      <c r="E34" s="13">
        <v>22934865.66</v>
      </c>
      <c r="F34" s="13">
        <v>27571438</v>
      </c>
      <c r="G34" s="14">
        <v>2.74</v>
      </c>
      <c r="H34" s="14">
        <v>0.83</v>
      </c>
      <c r="I34" s="13">
        <v>1911238.8049999999</v>
      </c>
      <c r="J34" s="15">
        <v>1</v>
      </c>
      <c r="K34" s="13">
        <v>73602098.994999945</v>
      </c>
      <c r="L34" s="13">
        <v>20370461.799999952</v>
      </c>
      <c r="M34" s="13">
        <v>6584742.7999999523</v>
      </c>
      <c r="N34" s="179">
        <v>43647</v>
      </c>
      <c r="O34" s="16">
        <v>45474</v>
      </c>
      <c r="P34" s="13">
        <v>1205224.33</v>
      </c>
      <c r="Q34" s="222" t="e">
        <v>#VALUE!</v>
      </c>
    </row>
    <row r="35" spans="1:17" x14ac:dyDescent="0.2">
      <c r="A35" s="4" t="s">
        <v>64</v>
      </c>
      <c r="B35" s="13">
        <v>346058940</v>
      </c>
      <c r="C35" s="13">
        <v>321905098.80000001</v>
      </c>
      <c r="D35" s="13">
        <v>24153841.199999988</v>
      </c>
      <c r="E35" s="13">
        <v>5275579.6900000004</v>
      </c>
      <c r="F35" s="13">
        <v>9353201</v>
      </c>
      <c r="G35" s="14">
        <v>2.58</v>
      </c>
      <c r="H35" s="14">
        <v>0.56000000000000005</v>
      </c>
      <c r="I35" s="13">
        <v>439631.64083333337</v>
      </c>
      <c r="J35" s="15">
        <v>7</v>
      </c>
      <c r="K35" s="13">
        <v>21076419.714166656</v>
      </c>
      <c r="L35" s="13">
        <v>778205.59999999835</v>
      </c>
      <c r="M35" s="13" t="s">
        <v>42</v>
      </c>
      <c r="N35" s="179">
        <v>43831</v>
      </c>
      <c r="O35" s="16">
        <v>45658</v>
      </c>
      <c r="P35" s="13">
        <v>203791.08</v>
      </c>
      <c r="Q35" s="222" t="e">
        <v>#VALUE!</v>
      </c>
    </row>
    <row r="36" spans="1:17" x14ac:dyDescent="0.2">
      <c r="A36" s="4" t="s">
        <v>53</v>
      </c>
      <c r="B36" s="13">
        <v>2879313105.54</v>
      </c>
      <c r="C36" s="13">
        <v>2698630464.4699998</v>
      </c>
      <c r="D36" s="13">
        <v>180682641.07000017</v>
      </c>
      <c r="E36" s="13">
        <v>77931486.219999999</v>
      </c>
      <c r="F36" s="13">
        <v>70613641</v>
      </c>
      <c r="G36" s="14">
        <v>2.56</v>
      </c>
      <c r="H36" s="14">
        <v>1.1000000000000001</v>
      </c>
      <c r="I36" s="13">
        <v>6494290.5183333335</v>
      </c>
      <c r="J36" s="15">
        <v>3</v>
      </c>
      <c r="K36" s="13">
        <v>161199769.51500016</v>
      </c>
      <c r="L36" s="13">
        <v>13151786.356666723</v>
      </c>
      <c r="M36" s="13" t="s">
        <v>42</v>
      </c>
      <c r="N36" s="179">
        <v>44075</v>
      </c>
      <c r="O36" s="16">
        <v>45536</v>
      </c>
      <c r="P36" s="13">
        <v>4601892.1399999997</v>
      </c>
      <c r="Q36" s="222" t="e">
        <v>#VALUE!</v>
      </c>
    </row>
    <row r="37" spans="1:17" x14ac:dyDescent="0.2">
      <c r="A37" s="4" t="s">
        <v>48</v>
      </c>
      <c r="B37" s="13">
        <v>545409679.30999994</v>
      </c>
      <c r="C37" s="13">
        <v>515638245.31</v>
      </c>
      <c r="D37" s="13">
        <v>29771433.99999994</v>
      </c>
      <c r="E37" s="13">
        <v>15411647.83</v>
      </c>
      <c r="F37" s="13">
        <v>11656242</v>
      </c>
      <c r="G37" s="14">
        <v>2.5499999999999998</v>
      </c>
      <c r="H37" s="14">
        <v>1.32</v>
      </c>
      <c r="I37" s="13">
        <v>1284303.9858333333</v>
      </c>
      <c r="J37" s="15">
        <v>7</v>
      </c>
      <c r="K37" s="13">
        <v>20781306.099166609</v>
      </c>
      <c r="L37" s="13" t="s">
        <v>42</v>
      </c>
      <c r="M37" s="13" t="s">
        <v>42</v>
      </c>
      <c r="N37" s="179">
        <v>43831</v>
      </c>
      <c r="O37" s="16">
        <v>45658</v>
      </c>
      <c r="P37" s="13">
        <v>287665</v>
      </c>
      <c r="Q37" s="222" t="e">
        <v>#VALUE!</v>
      </c>
    </row>
    <row r="38" spans="1:17" x14ac:dyDescent="0.2">
      <c r="A38" s="4" t="s">
        <v>52</v>
      </c>
      <c r="B38" s="13">
        <v>522049097</v>
      </c>
      <c r="C38" s="13">
        <v>489092055.63</v>
      </c>
      <c r="D38" s="13">
        <v>32957041.370000005</v>
      </c>
      <c r="E38" s="13">
        <v>15268939.91</v>
      </c>
      <c r="F38" s="13">
        <v>13105608</v>
      </c>
      <c r="G38" s="14">
        <v>2.5099999999999998</v>
      </c>
      <c r="H38" s="14">
        <v>1.17</v>
      </c>
      <c r="I38" s="13">
        <v>1272411.6591666667</v>
      </c>
      <c r="J38" s="15">
        <v>1</v>
      </c>
      <c r="K38" s="13">
        <v>31684629.710833337</v>
      </c>
      <c r="L38" s="13">
        <v>6745825.3700000048</v>
      </c>
      <c r="M38" s="13" t="s">
        <v>42</v>
      </c>
      <c r="N38" s="179">
        <v>43647</v>
      </c>
      <c r="O38" s="16">
        <v>45474</v>
      </c>
      <c r="P38" s="13">
        <v>824694.91</v>
      </c>
      <c r="Q38" s="222" t="e">
        <v>#VALUE!</v>
      </c>
    </row>
    <row r="39" spans="1:17" x14ac:dyDescent="0.2">
      <c r="A39" s="4" t="s">
        <v>54</v>
      </c>
      <c r="B39" s="13">
        <v>1394382977.99</v>
      </c>
      <c r="C39" s="13">
        <v>1308077765.51</v>
      </c>
      <c r="D39" s="13">
        <v>86305212.480000019</v>
      </c>
      <c r="E39" s="13">
        <v>36145091.829999998</v>
      </c>
      <c r="F39" s="13">
        <v>34869850</v>
      </c>
      <c r="G39" s="14">
        <v>2.48</v>
      </c>
      <c r="H39" s="14">
        <v>1.04</v>
      </c>
      <c r="I39" s="13">
        <v>3012090.9858333333</v>
      </c>
      <c r="J39" s="15">
        <v>0</v>
      </c>
      <c r="K39" s="13">
        <v>86305212.480000019</v>
      </c>
      <c r="L39" s="13" t="s">
        <v>20</v>
      </c>
      <c r="M39" s="13" t="s">
        <v>42</v>
      </c>
      <c r="N39" s="179">
        <v>43922</v>
      </c>
      <c r="O39" s="16">
        <v>45383</v>
      </c>
      <c r="P39" s="13">
        <v>2228079.0099999998</v>
      </c>
      <c r="Q39" s="222" t="e">
        <v>#VALUE!</v>
      </c>
    </row>
    <row r="40" spans="1:17" x14ac:dyDescent="0.2">
      <c r="A40" s="4" t="s">
        <v>61</v>
      </c>
      <c r="B40" s="13">
        <v>1085275104.5</v>
      </c>
      <c r="C40" s="13">
        <v>1028782385</v>
      </c>
      <c r="D40" s="13">
        <v>56492719.5</v>
      </c>
      <c r="E40" s="13">
        <v>20798356.670000002</v>
      </c>
      <c r="F40" s="13">
        <v>22858857</v>
      </c>
      <c r="G40" s="14">
        <v>2.4700000000000002</v>
      </c>
      <c r="H40" s="14">
        <v>0.91</v>
      </c>
      <c r="I40" s="13">
        <v>1733196.3891666669</v>
      </c>
      <c r="J40" s="15">
        <v>0</v>
      </c>
      <c r="K40" s="13">
        <v>56492719.5</v>
      </c>
      <c r="L40" s="13" t="s">
        <v>20</v>
      </c>
      <c r="M40" s="13" t="s">
        <v>42</v>
      </c>
      <c r="N40" s="179">
        <v>43556</v>
      </c>
      <c r="O40" s="16">
        <v>45383</v>
      </c>
      <c r="P40" s="13">
        <v>1365640.67</v>
      </c>
      <c r="Q40" s="222" t="e">
        <v>#VALUE!</v>
      </c>
    </row>
    <row r="41" spans="1:17" x14ac:dyDescent="0.2">
      <c r="A41" s="4" t="s">
        <v>63</v>
      </c>
      <c r="B41" s="13">
        <v>1309738768.5599999</v>
      </c>
      <c r="C41" s="13">
        <v>1237022726.5599999</v>
      </c>
      <c r="D41" s="13">
        <v>72716042</v>
      </c>
      <c r="E41" s="13">
        <v>26782843.48</v>
      </c>
      <c r="F41" s="13">
        <v>30738746</v>
      </c>
      <c r="G41" s="14">
        <v>2.37</v>
      </c>
      <c r="H41" s="14">
        <v>0.87</v>
      </c>
      <c r="I41" s="13">
        <v>2231903.6233333335</v>
      </c>
      <c r="J41" s="15">
        <v>1</v>
      </c>
      <c r="K41" s="13">
        <v>70484138.376666665</v>
      </c>
      <c r="L41" s="13">
        <v>11238550</v>
      </c>
      <c r="M41" s="13" t="s">
        <v>42</v>
      </c>
      <c r="N41" s="179">
        <v>43647</v>
      </c>
      <c r="O41" s="16">
        <v>45474</v>
      </c>
      <c r="P41" s="13">
        <v>2648045.89</v>
      </c>
      <c r="Q41" s="222" t="e">
        <v>#VALUE!</v>
      </c>
    </row>
    <row r="42" spans="1:17" x14ac:dyDescent="0.2">
      <c r="A42" s="4" t="s">
        <v>58</v>
      </c>
      <c r="B42" s="13">
        <v>1205115490</v>
      </c>
      <c r="C42" s="13">
        <v>1152569119.5999999</v>
      </c>
      <c r="D42" s="13">
        <v>52546370.400000095</v>
      </c>
      <c r="E42" s="13">
        <v>25394263.77</v>
      </c>
      <c r="F42" s="13">
        <v>22499042</v>
      </c>
      <c r="G42" s="14">
        <v>2.34</v>
      </c>
      <c r="H42" s="14">
        <v>1.1299999999999999</v>
      </c>
      <c r="I42" s="13">
        <v>2116188.6475</v>
      </c>
      <c r="J42" s="15">
        <v>0</v>
      </c>
      <c r="K42" s="13">
        <v>52546370.400000095</v>
      </c>
      <c r="L42" s="13" t="s">
        <v>20</v>
      </c>
      <c r="M42" s="13" t="s">
        <v>42</v>
      </c>
      <c r="N42" s="179">
        <v>43922</v>
      </c>
      <c r="O42" s="16">
        <v>45383</v>
      </c>
      <c r="P42" s="13">
        <v>1569208.37</v>
      </c>
      <c r="Q42" s="222" t="e">
        <v>#VALUE!</v>
      </c>
    </row>
    <row r="43" spans="1:17" x14ac:dyDescent="0.2">
      <c r="A43" s="4" t="s">
        <v>60</v>
      </c>
      <c r="B43" s="13">
        <v>342887810.45999998</v>
      </c>
      <c r="C43" s="13">
        <v>323990266.25999999</v>
      </c>
      <c r="D43" s="13">
        <v>18897544.199999988</v>
      </c>
      <c r="E43" s="13">
        <v>8664733.9100000001</v>
      </c>
      <c r="F43" s="13">
        <v>8236180</v>
      </c>
      <c r="G43" s="14">
        <v>2.29</v>
      </c>
      <c r="H43" s="14">
        <v>1.05</v>
      </c>
      <c r="I43" s="13">
        <v>722061.15916666668</v>
      </c>
      <c r="J43" s="15">
        <v>0</v>
      </c>
      <c r="K43" s="13">
        <v>18897544.199999988</v>
      </c>
      <c r="L43" s="13" t="s">
        <v>20</v>
      </c>
      <c r="M43" s="13" t="s">
        <v>42</v>
      </c>
      <c r="N43" s="179">
        <v>43556</v>
      </c>
      <c r="O43" s="16">
        <v>45383</v>
      </c>
      <c r="P43" s="13">
        <v>525850.76</v>
      </c>
      <c r="Q43" s="222" t="e">
        <v>#VALUE!</v>
      </c>
    </row>
    <row r="44" spans="1:17" x14ac:dyDescent="0.2">
      <c r="A44" s="4" t="s">
        <v>59</v>
      </c>
      <c r="B44" s="13">
        <v>277600986</v>
      </c>
      <c r="C44" s="13">
        <v>260607124.03</v>
      </c>
      <c r="D44" s="13">
        <v>16993861.969999999</v>
      </c>
      <c r="E44" s="13">
        <v>8338191.5499999998</v>
      </c>
      <c r="F44" s="13">
        <v>7461397</v>
      </c>
      <c r="G44" s="14">
        <v>2.2799999999999998</v>
      </c>
      <c r="H44" s="14">
        <v>1.1200000000000001</v>
      </c>
      <c r="I44" s="13">
        <v>694849.29583333328</v>
      </c>
      <c r="J44" s="15">
        <v>1</v>
      </c>
      <c r="K44" s="13">
        <v>16299012.674166666</v>
      </c>
      <c r="L44" s="13">
        <v>2071067.9699999988</v>
      </c>
      <c r="M44" s="13" t="s">
        <v>42</v>
      </c>
      <c r="N44" s="179">
        <v>43647</v>
      </c>
      <c r="O44" s="16">
        <v>45474</v>
      </c>
      <c r="P44" s="13">
        <v>1477946.44</v>
      </c>
      <c r="Q44" s="222" t="e">
        <v>#VALUE!</v>
      </c>
    </row>
    <row r="45" spans="1:17" x14ac:dyDescent="0.2">
      <c r="A45" s="4" t="s">
        <v>57</v>
      </c>
      <c r="B45" s="13">
        <v>98701064</v>
      </c>
      <c r="C45" s="13">
        <v>92616233.099999994</v>
      </c>
      <c r="D45" s="13">
        <v>6084830.900000006</v>
      </c>
      <c r="E45" s="13">
        <v>4894835.9800000004</v>
      </c>
      <c r="F45" s="13">
        <v>2898567</v>
      </c>
      <c r="G45" s="14">
        <v>2.1</v>
      </c>
      <c r="H45" s="14">
        <v>1.69</v>
      </c>
      <c r="I45" s="13">
        <v>407902.99833333335</v>
      </c>
      <c r="J45" s="15">
        <v>1</v>
      </c>
      <c r="K45" s="13">
        <v>5676927.9016666729</v>
      </c>
      <c r="L45" s="13" t="s">
        <v>42</v>
      </c>
      <c r="M45" s="13" t="s">
        <v>42</v>
      </c>
      <c r="N45" s="179">
        <v>43647</v>
      </c>
      <c r="O45" s="16">
        <v>45474</v>
      </c>
      <c r="P45" s="13">
        <v>108794.5</v>
      </c>
      <c r="Q45" s="222" t="e">
        <v>#VALUE!</v>
      </c>
    </row>
    <row r="46" spans="1:17" x14ac:dyDescent="0.2">
      <c r="A46" s="4" t="s">
        <v>62</v>
      </c>
      <c r="B46" s="13">
        <v>685388676.61000001</v>
      </c>
      <c r="C46" s="13">
        <v>656955899.63</v>
      </c>
      <c r="D46" s="13">
        <v>28432776.980000019</v>
      </c>
      <c r="E46" s="13">
        <v>16804912.219999999</v>
      </c>
      <c r="F46" s="13">
        <v>13963452</v>
      </c>
      <c r="G46" s="14">
        <v>2.04</v>
      </c>
      <c r="H46" s="14">
        <v>1.2</v>
      </c>
      <c r="I46" s="13">
        <v>1400409.3516666666</v>
      </c>
      <c r="J46" s="15">
        <v>0</v>
      </c>
      <c r="K46" s="13">
        <v>28432776.980000019</v>
      </c>
      <c r="L46" s="13" t="s">
        <v>20</v>
      </c>
      <c r="M46" s="13" t="s">
        <v>42</v>
      </c>
      <c r="N46" s="179">
        <v>43922</v>
      </c>
      <c r="O46" s="16">
        <v>45383</v>
      </c>
      <c r="P46" s="13">
        <v>681121.09</v>
      </c>
      <c r="Q46" s="222" t="e">
        <v>#VALUE!</v>
      </c>
    </row>
    <row r="47" spans="1:17" x14ac:dyDescent="0.2">
      <c r="A47" s="4" t="s">
        <v>66</v>
      </c>
      <c r="B47" s="13">
        <v>1940110596.77</v>
      </c>
      <c r="C47" s="13">
        <v>1848059338.45</v>
      </c>
      <c r="D47" s="13">
        <v>92051258.319999933</v>
      </c>
      <c r="E47" s="13">
        <v>41094610.109999999</v>
      </c>
      <c r="F47" s="13">
        <v>45492764</v>
      </c>
      <c r="G47" s="14">
        <v>2.02</v>
      </c>
      <c r="H47" s="14">
        <v>0.9</v>
      </c>
      <c r="I47" s="13">
        <v>3424550.8424999998</v>
      </c>
      <c r="J47" s="15">
        <v>1</v>
      </c>
      <c r="K47" s="13">
        <v>88626707.477499932</v>
      </c>
      <c r="L47" s="13" t="s">
        <v>42</v>
      </c>
      <c r="M47" s="13" t="s">
        <v>42</v>
      </c>
      <c r="N47" s="179">
        <v>43647</v>
      </c>
      <c r="O47" s="16">
        <v>45474</v>
      </c>
      <c r="P47" s="13">
        <v>2591967.81</v>
      </c>
      <c r="Q47" s="222" t="e">
        <v>#VALUE!</v>
      </c>
    </row>
    <row r="48" spans="1:17" x14ac:dyDescent="0.2">
      <c r="A48" s="4" t="s">
        <v>65</v>
      </c>
      <c r="B48" s="13">
        <v>389160034</v>
      </c>
      <c r="C48" s="13">
        <v>369986327.20999998</v>
      </c>
      <c r="D48" s="13">
        <v>19173706.790000021</v>
      </c>
      <c r="E48" s="13">
        <v>10458625.130000001</v>
      </c>
      <c r="F48" s="13">
        <v>10126728</v>
      </c>
      <c r="G48" s="14">
        <v>1.89</v>
      </c>
      <c r="H48" s="14">
        <v>1.03</v>
      </c>
      <c r="I48" s="13">
        <v>871552.09416666673</v>
      </c>
      <c r="J48" s="15">
        <v>1</v>
      </c>
      <c r="K48" s="13">
        <v>18302154.695833355</v>
      </c>
      <c r="L48" s="13" t="s">
        <v>42</v>
      </c>
      <c r="M48" s="13" t="s">
        <v>42</v>
      </c>
      <c r="N48" s="179">
        <v>43647</v>
      </c>
      <c r="O48" s="16">
        <v>45474</v>
      </c>
      <c r="P48" s="13">
        <v>666106.44999999995</v>
      </c>
      <c r="Q48" s="222" t="e">
        <v>#VALUE!</v>
      </c>
    </row>
    <row r="49" spans="1:17" x14ac:dyDescent="0.2">
      <c r="A49" s="4" t="s">
        <v>67</v>
      </c>
      <c r="B49" s="13">
        <v>1082941284</v>
      </c>
      <c r="C49" s="13">
        <v>1031932267.6</v>
      </c>
      <c r="D49" s="13">
        <v>51009016.399999976</v>
      </c>
      <c r="E49" s="13">
        <v>25924294.219999999</v>
      </c>
      <c r="F49" s="13">
        <v>27168342</v>
      </c>
      <c r="G49" s="14">
        <v>1.88</v>
      </c>
      <c r="H49" s="14">
        <v>0.95</v>
      </c>
      <c r="I49" s="13">
        <v>2160357.8516666666</v>
      </c>
      <c r="J49" s="15">
        <v>0</v>
      </c>
      <c r="K49" s="13">
        <v>51009016.399999976</v>
      </c>
      <c r="L49" s="13" t="s">
        <v>42</v>
      </c>
      <c r="M49" s="13" t="s">
        <v>42</v>
      </c>
      <c r="N49" s="179">
        <v>43922</v>
      </c>
      <c r="O49" s="16">
        <v>45383</v>
      </c>
      <c r="P49" s="13">
        <v>49690.98</v>
      </c>
      <c r="Q49" s="222" t="e">
        <v>#VALUE!</v>
      </c>
    </row>
    <row r="50" spans="1:17" x14ac:dyDescent="0.2">
      <c r="A50" s="4" t="s">
        <v>68</v>
      </c>
      <c r="B50" s="13">
        <v>497245980</v>
      </c>
      <c r="C50" s="13">
        <v>475194342.02999997</v>
      </c>
      <c r="D50" s="13">
        <v>22051637.970000029</v>
      </c>
      <c r="E50" s="13">
        <v>11553955.050000001</v>
      </c>
      <c r="F50" s="13">
        <v>11808636</v>
      </c>
      <c r="G50" s="14">
        <v>1.87</v>
      </c>
      <c r="H50" s="14">
        <v>0.98</v>
      </c>
      <c r="I50" s="13">
        <v>962829.58750000002</v>
      </c>
      <c r="J50" s="15">
        <v>7</v>
      </c>
      <c r="K50" s="13">
        <v>15311830.857500028</v>
      </c>
      <c r="L50" s="13" t="s">
        <v>42</v>
      </c>
      <c r="M50" s="13" t="s">
        <v>42</v>
      </c>
      <c r="N50" s="179">
        <v>43831</v>
      </c>
      <c r="O50" s="16">
        <v>45658</v>
      </c>
      <c r="P50" s="13">
        <v>813318.52</v>
      </c>
      <c r="Q50" s="222" t="e">
        <v>#VALUE!</v>
      </c>
    </row>
    <row r="51" spans="1:17" x14ac:dyDescent="0.2">
      <c r="A51" s="4" t="s">
        <v>69</v>
      </c>
      <c r="B51" s="13">
        <v>238203233</v>
      </c>
      <c r="C51" s="13">
        <v>229569356.69999999</v>
      </c>
      <c r="D51" s="13">
        <v>8633876.3000000119</v>
      </c>
      <c r="E51" s="13">
        <v>5541774.5700000003</v>
      </c>
      <c r="F51" s="13">
        <v>5501208</v>
      </c>
      <c r="G51" s="14">
        <v>1.57</v>
      </c>
      <c r="H51" s="14">
        <v>1.01</v>
      </c>
      <c r="I51" s="13">
        <v>461814.54750000004</v>
      </c>
      <c r="J51" s="15">
        <v>1</v>
      </c>
      <c r="K51" s="13">
        <v>8172061.7525000116</v>
      </c>
      <c r="L51" s="13" t="s">
        <v>42</v>
      </c>
      <c r="M51" s="13" t="s">
        <v>42</v>
      </c>
      <c r="N51" s="179">
        <v>43647</v>
      </c>
      <c r="O51" s="16">
        <v>45474</v>
      </c>
      <c r="P51" s="13">
        <v>311727.28999999998</v>
      </c>
      <c r="Q51" s="222" t="e">
        <v>#VALUE!</v>
      </c>
    </row>
    <row r="52" spans="1:17" x14ac:dyDescent="0.2">
      <c r="A52" s="4" t="s">
        <v>70</v>
      </c>
      <c r="B52" s="13">
        <v>75470621</v>
      </c>
      <c r="C52" s="13">
        <v>71849493.099999994</v>
      </c>
      <c r="D52" s="18">
        <v>3621127.900000006</v>
      </c>
      <c r="E52" s="13">
        <v>1878111.63</v>
      </c>
      <c r="F52" s="13">
        <v>2752623</v>
      </c>
      <c r="G52" s="14">
        <v>1.32</v>
      </c>
      <c r="H52" s="14">
        <v>0.68</v>
      </c>
      <c r="I52" s="18">
        <v>156509.30249999999</v>
      </c>
      <c r="J52" s="15">
        <v>1</v>
      </c>
      <c r="K52" s="18">
        <v>3464618.5975000057</v>
      </c>
      <c r="L52" s="18" t="s">
        <v>42</v>
      </c>
      <c r="M52" s="18" t="s">
        <v>42</v>
      </c>
      <c r="N52" s="180">
        <v>43647</v>
      </c>
      <c r="O52" s="16">
        <v>45474</v>
      </c>
      <c r="P52" s="13">
        <v>29789.1</v>
      </c>
      <c r="Q52" s="222" t="e">
        <v>#VALUE!</v>
      </c>
    </row>
    <row r="53" spans="1:17" x14ac:dyDescent="0.25">
      <c r="A53" s="34" t="s">
        <v>71</v>
      </c>
      <c r="B53" s="31">
        <v>43056918036.709999</v>
      </c>
      <c r="C53" s="13">
        <v>39824806689.540001</v>
      </c>
      <c r="D53" s="31">
        <v>3232111347.1699982</v>
      </c>
      <c r="E53" s="13">
        <v>938172158.84000003</v>
      </c>
      <c r="F53" s="13">
        <v>981907757</v>
      </c>
      <c r="G53" s="14">
        <v>3.29</v>
      </c>
      <c r="H53" s="14">
        <v>0.96</v>
      </c>
      <c r="I53" s="31">
        <v>78181013.236666664</v>
      </c>
      <c r="J53" s="32"/>
      <c r="K53" s="33"/>
      <c r="L53" s="33"/>
      <c r="M53" s="33"/>
      <c r="N53" s="33"/>
      <c r="O53" s="33"/>
      <c r="P53" s="31">
        <v>64151160.559999987</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36</v>
      </c>
      <c r="H56" s="25"/>
    </row>
    <row r="57" spans="1:17" ht="27" customHeight="1" thickBot="1" x14ac:dyDescent="0.3">
      <c r="D57" s="228" t="s">
        <v>73</v>
      </c>
      <c r="E57" s="229"/>
      <c r="F57" s="229"/>
      <c r="G57" s="27"/>
      <c r="H57" s="28">
        <v>29</v>
      </c>
    </row>
  </sheetData>
  <mergeCells count="2">
    <mergeCell ref="D56:F56"/>
    <mergeCell ref="D57:F57"/>
  </mergeCells>
  <conditionalFormatting sqref="G54">
    <cfRule type="cellIs" dxfId="251" priority="13" stopIfTrue="1" operator="greaterThan">
      <formula>2.5</formula>
    </cfRule>
    <cfRule type="cellIs" dxfId="250" priority="14" stopIfTrue="1" operator="between">
      <formula>2.01</formula>
      <formula>2.5</formula>
    </cfRule>
  </conditionalFormatting>
  <conditionalFormatting sqref="H3:H53">
    <cfRule type="cellIs" dxfId="249" priority="12" stopIfTrue="1" operator="lessThan">
      <formula>1</formula>
    </cfRule>
  </conditionalFormatting>
  <conditionalFormatting sqref="G3:G53">
    <cfRule type="cellIs" dxfId="248" priority="10" stopIfTrue="1" operator="greaterThan">
      <formula>2.5</formula>
    </cfRule>
    <cfRule type="cellIs" dxfId="247" priority="11" stopIfTrue="1" operator="between">
      <formula>2.01</formula>
      <formula>2.5</formula>
    </cfRule>
  </conditionalFormatting>
  <conditionalFormatting sqref="K3:K52">
    <cfRule type="cellIs" dxfId="246" priority="8" stopIfTrue="1" operator="greaterThan">
      <formula>$F3*2.5</formula>
    </cfRule>
    <cfRule type="cellIs" dxfId="245" priority="9" stopIfTrue="1" operator="between">
      <formula>$F3*2</formula>
      <formula>$F3*2.5</formula>
    </cfRule>
  </conditionalFormatting>
  <conditionalFormatting sqref="G54">
    <cfRule type="cellIs" dxfId="244" priority="6" stopIfTrue="1" operator="greaterThan">
      <formula>2.5</formula>
    </cfRule>
    <cfRule type="cellIs" dxfId="243" priority="7" stopIfTrue="1" operator="between">
      <formula>2.01</formula>
      <formula>2.5</formula>
    </cfRule>
  </conditionalFormatting>
  <conditionalFormatting sqref="H3:H53">
    <cfRule type="cellIs" dxfId="242" priority="5" stopIfTrue="1" operator="lessThan">
      <formula>1</formula>
    </cfRule>
  </conditionalFormatting>
  <conditionalFormatting sqref="G3:G53">
    <cfRule type="cellIs" dxfId="241" priority="3" stopIfTrue="1" operator="greaterThan">
      <formula>2.5</formula>
    </cfRule>
    <cfRule type="cellIs" dxfId="240" priority="4" stopIfTrue="1" operator="between">
      <formula>2.01</formula>
      <formula>2.5</formula>
    </cfRule>
  </conditionalFormatting>
  <conditionalFormatting sqref="K3:K52">
    <cfRule type="cellIs" dxfId="239" priority="1" stopIfTrue="1" operator="greaterThan">
      <formula>$F3*2.5</formula>
    </cfRule>
    <cfRule type="cellIs" dxfId="238"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D9E01-E12E-4917-A2FF-0B2C9B1BB8D2}">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96</v>
      </c>
      <c r="B1" s="178" t="s">
        <v>97</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987137567.41999996</v>
      </c>
      <c r="D3" s="13">
        <v>152838370.03000009</v>
      </c>
      <c r="E3" s="13">
        <v>12325906.810000001</v>
      </c>
      <c r="F3" s="13">
        <v>24778539</v>
      </c>
      <c r="G3" s="14">
        <v>6.17</v>
      </c>
      <c r="H3" s="14">
        <v>0.5</v>
      </c>
      <c r="I3" s="13">
        <v>1027158.9008333334</v>
      </c>
      <c r="J3" s="15">
        <v>0</v>
      </c>
      <c r="K3" s="13">
        <v>152838370.03000009</v>
      </c>
      <c r="L3" s="13" t="s">
        <v>20</v>
      </c>
      <c r="M3" s="13" t="s">
        <v>20</v>
      </c>
      <c r="N3" s="179">
        <v>43647</v>
      </c>
      <c r="O3" s="16">
        <v>45474</v>
      </c>
      <c r="P3" s="13">
        <v>1806796.32</v>
      </c>
      <c r="Q3" s="223" t="e">
        <v>#VALUE!</v>
      </c>
    </row>
    <row r="4" spans="1:17" x14ac:dyDescent="0.2">
      <c r="A4" s="4" t="s">
        <v>22</v>
      </c>
      <c r="B4" s="13">
        <v>708696383.32000005</v>
      </c>
      <c r="C4" s="13">
        <v>636111826.75</v>
      </c>
      <c r="D4" s="13">
        <v>72584556.570000052</v>
      </c>
      <c r="E4" s="13">
        <v>12050253.279999999</v>
      </c>
      <c r="F4" s="13">
        <v>13833071</v>
      </c>
      <c r="G4" s="14">
        <v>5.25</v>
      </c>
      <c r="H4" s="14">
        <v>0.87</v>
      </c>
      <c r="I4" s="13">
        <v>1004187.7733333333</v>
      </c>
      <c r="J4" s="15">
        <v>0</v>
      </c>
      <c r="K4" s="13">
        <v>72584556.570000052</v>
      </c>
      <c r="L4" s="13" t="s">
        <v>20</v>
      </c>
      <c r="M4" s="13" t="s">
        <v>20</v>
      </c>
      <c r="N4" s="179">
        <v>43647</v>
      </c>
      <c r="O4" s="16">
        <v>45474</v>
      </c>
      <c r="P4" s="13">
        <v>1109544.57</v>
      </c>
      <c r="Q4" s="222" t="e">
        <v>#VALUE!</v>
      </c>
    </row>
    <row r="5" spans="1:17" x14ac:dyDescent="0.2">
      <c r="A5" s="4" t="s">
        <v>21</v>
      </c>
      <c r="B5" s="13">
        <v>1788595890.3599999</v>
      </c>
      <c r="C5" s="13">
        <v>1546319825.8699999</v>
      </c>
      <c r="D5" s="13">
        <v>242276064.49000001</v>
      </c>
      <c r="E5" s="13">
        <v>38728261.189999998</v>
      </c>
      <c r="F5" s="13">
        <v>46272979</v>
      </c>
      <c r="G5" s="14">
        <v>5.24</v>
      </c>
      <c r="H5" s="14">
        <v>0.84</v>
      </c>
      <c r="I5" s="13">
        <v>3227355.0991666666</v>
      </c>
      <c r="J5" s="15">
        <v>5</v>
      </c>
      <c r="K5" s="13">
        <v>226139288.99416667</v>
      </c>
      <c r="L5" s="13">
        <v>29946021.298</v>
      </c>
      <c r="M5" s="13">
        <v>25318723.398000002</v>
      </c>
      <c r="N5" s="179">
        <v>43831</v>
      </c>
      <c r="O5" s="16">
        <v>45658</v>
      </c>
      <c r="P5" s="13">
        <v>4006903.59</v>
      </c>
      <c r="Q5" s="222" t="e">
        <v>#VALUE!</v>
      </c>
    </row>
    <row r="6" spans="1:17" x14ac:dyDescent="0.2">
      <c r="A6" s="4" t="s">
        <v>24</v>
      </c>
      <c r="B6" s="13">
        <v>1469242870.97</v>
      </c>
      <c r="C6" s="13">
        <v>1299395704.4200001</v>
      </c>
      <c r="D6" s="13">
        <v>169847166.54999995</v>
      </c>
      <c r="E6" s="13">
        <v>12083225.060000001</v>
      </c>
      <c r="F6" s="13">
        <v>33073641</v>
      </c>
      <c r="G6" s="14">
        <v>5.14</v>
      </c>
      <c r="H6" s="14">
        <v>0.37</v>
      </c>
      <c r="I6" s="13">
        <v>1006935.4216666667</v>
      </c>
      <c r="J6" s="15">
        <v>0</v>
      </c>
      <c r="K6" s="13">
        <v>169847166.54999995</v>
      </c>
      <c r="L6" s="13" t="s">
        <v>20</v>
      </c>
      <c r="M6" s="13" t="s">
        <v>20</v>
      </c>
      <c r="N6" s="179">
        <v>43647</v>
      </c>
      <c r="O6" s="16">
        <v>45474</v>
      </c>
      <c r="P6" s="13">
        <v>3458255.62</v>
      </c>
      <c r="Q6" s="222" t="e">
        <v>#VALUE!</v>
      </c>
    </row>
    <row r="7" spans="1:17" x14ac:dyDescent="0.2">
      <c r="A7" s="4" t="s">
        <v>23</v>
      </c>
      <c r="B7" s="13">
        <v>1336273473.74</v>
      </c>
      <c r="C7" s="13">
        <v>1194419942.3299999</v>
      </c>
      <c r="D7" s="13">
        <v>141853531.41000009</v>
      </c>
      <c r="E7" s="13">
        <v>21984744.469999999</v>
      </c>
      <c r="F7" s="13">
        <v>29074134</v>
      </c>
      <c r="G7" s="14">
        <v>4.88</v>
      </c>
      <c r="H7" s="14">
        <v>0.76</v>
      </c>
      <c r="I7" s="13">
        <v>1832062.0391666666</v>
      </c>
      <c r="J7" s="15">
        <v>5</v>
      </c>
      <c r="K7" s="13">
        <v>132693221.21416676</v>
      </c>
      <c r="L7" s="13">
        <v>16741052.682000017</v>
      </c>
      <c r="M7" s="13">
        <v>13833639.282000016</v>
      </c>
      <c r="N7" s="179">
        <v>43831</v>
      </c>
      <c r="O7" s="16">
        <v>45658</v>
      </c>
      <c r="P7" s="13">
        <v>4735949.24</v>
      </c>
      <c r="Q7" s="222" t="e">
        <v>#VALUE!</v>
      </c>
    </row>
    <row r="8" spans="1:17" x14ac:dyDescent="0.2">
      <c r="A8" s="4" t="s">
        <v>26</v>
      </c>
      <c r="B8" s="13">
        <v>120899760.39</v>
      </c>
      <c r="C8" s="13">
        <v>104519824.66</v>
      </c>
      <c r="D8" s="13">
        <v>16379935.730000004</v>
      </c>
      <c r="E8" s="13">
        <v>1213452.2</v>
      </c>
      <c r="F8" s="13">
        <v>3521015</v>
      </c>
      <c r="G8" s="14">
        <v>4.6500000000000004</v>
      </c>
      <c r="H8" s="14">
        <v>0.34</v>
      </c>
      <c r="I8" s="13">
        <v>101121.01666666666</v>
      </c>
      <c r="J8" s="15">
        <v>5</v>
      </c>
      <c r="K8" s="13">
        <v>15874330.64666667</v>
      </c>
      <c r="L8" s="13">
        <v>1867581.1460000009</v>
      </c>
      <c r="M8" s="13">
        <v>1515479.6460000009</v>
      </c>
      <c r="N8" s="179">
        <v>43831</v>
      </c>
      <c r="O8" s="16">
        <v>45658</v>
      </c>
      <c r="P8" s="13">
        <v>74762.38</v>
      </c>
      <c r="Q8" s="222" t="e">
        <v>#VALUE!</v>
      </c>
    </row>
    <row r="9" spans="1:17" x14ac:dyDescent="0.2">
      <c r="A9" s="4" t="s">
        <v>31</v>
      </c>
      <c r="B9" s="13">
        <v>493558716</v>
      </c>
      <c r="C9" s="13">
        <v>447722018.45999998</v>
      </c>
      <c r="D9" s="13">
        <v>45836697.540000021</v>
      </c>
      <c r="E9" s="13">
        <v>7559331.4500000002</v>
      </c>
      <c r="F9" s="13">
        <v>11038481</v>
      </c>
      <c r="G9" s="14">
        <v>4.1500000000000004</v>
      </c>
      <c r="H9" s="14">
        <v>0.68</v>
      </c>
      <c r="I9" s="13">
        <v>629944.28749999998</v>
      </c>
      <c r="J9" s="15">
        <v>5</v>
      </c>
      <c r="K9" s="13">
        <v>42686976.102500021</v>
      </c>
      <c r="L9" s="13">
        <v>4751947.1080000047</v>
      </c>
      <c r="M9" s="13">
        <v>3648099.0080000041</v>
      </c>
      <c r="N9" s="179">
        <v>43831</v>
      </c>
      <c r="O9" s="16">
        <v>45658</v>
      </c>
      <c r="P9" s="13">
        <v>606900.62</v>
      </c>
      <c r="Q9" s="222" t="e">
        <v>#VALUE!</v>
      </c>
    </row>
    <row r="10" spans="1:17" x14ac:dyDescent="0.2">
      <c r="A10" s="4" t="s">
        <v>27</v>
      </c>
      <c r="B10" s="13">
        <v>853256279</v>
      </c>
      <c r="C10" s="13">
        <v>778030839.34000003</v>
      </c>
      <c r="D10" s="13">
        <v>75225439.659999967</v>
      </c>
      <c r="E10" s="13">
        <v>18767228.010000002</v>
      </c>
      <c r="F10" s="13">
        <v>18836467</v>
      </c>
      <c r="G10" s="14">
        <v>3.99</v>
      </c>
      <c r="H10" s="14">
        <v>1</v>
      </c>
      <c r="I10" s="13">
        <v>1563935.6675000002</v>
      </c>
      <c r="J10" s="15">
        <v>2</v>
      </c>
      <c r="K10" s="13">
        <v>72097568.324999973</v>
      </c>
      <c r="L10" s="13">
        <v>18776252.829999983</v>
      </c>
      <c r="M10" s="13">
        <v>14067136.079999983</v>
      </c>
      <c r="N10" s="179">
        <v>43739</v>
      </c>
      <c r="O10" s="16">
        <v>45566</v>
      </c>
      <c r="P10" s="13">
        <v>2072070.83</v>
      </c>
      <c r="Q10" s="222" t="e">
        <v>#VALUE!</v>
      </c>
    </row>
    <row r="11" spans="1:17" x14ac:dyDescent="0.2">
      <c r="A11" s="4" t="s">
        <v>37</v>
      </c>
      <c r="B11" s="13">
        <v>187480557</v>
      </c>
      <c r="C11" s="13">
        <v>173584768.96000001</v>
      </c>
      <c r="D11" s="13">
        <v>13895788.039999992</v>
      </c>
      <c r="E11" s="13">
        <v>2604447.1800000002</v>
      </c>
      <c r="F11" s="13">
        <v>3515583</v>
      </c>
      <c r="G11" s="14">
        <v>3.95</v>
      </c>
      <c r="H11" s="14">
        <v>0.74</v>
      </c>
      <c r="I11" s="13">
        <v>217037.26500000001</v>
      </c>
      <c r="J11" s="15">
        <v>0</v>
      </c>
      <c r="K11" s="13">
        <v>13895788.039999992</v>
      </c>
      <c r="L11" s="13" t="s">
        <v>20</v>
      </c>
      <c r="M11" s="13" t="s">
        <v>20</v>
      </c>
      <c r="N11" s="179">
        <v>43647</v>
      </c>
      <c r="O11" s="16">
        <v>45474</v>
      </c>
      <c r="P11" s="13">
        <v>340530.55</v>
      </c>
      <c r="Q11" s="222" t="e">
        <v>#VALUE!</v>
      </c>
    </row>
    <row r="12" spans="1:17" x14ac:dyDescent="0.2">
      <c r="A12" s="4" t="s">
        <v>25</v>
      </c>
      <c r="B12" s="13">
        <v>265120500</v>
      </c>
      <c r="C12" s="13">
        <v>240833754.08000001</v>
      </c>
      <c r="D12" s="13">
        <v>24286745.919999987</v>
      </c>
      <c r="E12" s="13">
        <v>9352144.4900000002</v>
      </c>
      <c r="F12" s="13">
        <v>6172506</v>
      </c>
      <c r="G12" s="14">
        <v>3.93</v>
      </c>
      <c r="H12" s="14">
        <v>1.52</v>
      </c>
      <c r="I12" s="13">
        <v>779345.37416666665</v>
      </c>
      <c r="J12" s="15">
        <v>8</v>
      </c>
      <c r="K12" s="13">
        <v>18051982.926666655</v>
      </c>
      <c r="L12" s="13">
        <v>1492716.7399999984</v>
      </c>
      <c r="M12" s="13">
        <v>1106935.1149999984</v>
      </c>
      <c r="N12" s="179">
        <v>43922</v>
      </c>
      <c r="O12" s="16">
        <v>45748</v>
      </c>
      <c r="P12" s="13">
        <v>1062408.3400000001</v>
      </c>
      <c r="Q12" s="222" t="e">
        <v>#VALUE!</v>
      </c>
    </row>
    <row r="13" spans="1:17" x14ac:dyDescent="0.2">
      <c r="A13" s="4" t="s">
        <v>28</v>
      </c>
      <c r="B13" s="13">
        <v>1945106991</v>
      </c>
      <c r="C13" s="13">
        <v>1859223150.4100001</v>
      </c>
      <c r="D13" s="13">
        <v>85883840.589999914</v>
      </c>
      <c r="E13" s="13">
        <v>21582346.140000001</v>
      </c>
      <c r="F13" s="13">
        <v>22131554</v>
      </c>
      <c r="G13" s="14">
        <v>3.88</v>
      </c>
      <c r="H13" s="14">
        <v>0.98</v>
      </c>
      <c r="I13" s="13">
        <v>1798528.845</v>
      </c>
      <c r="J13" s="15">
        <v>0</v>
      </c>
      <c r="K13" s="13">
        <v>85883840.589999914</v>
      </c>
      <c r="L13" s="13" t="s">
        <v>20</v>
      </c>
      <c r="M13" s="13" t="s">
        <v>20</v>
      </c>
      <c r="N13" s="179">
        <v>43647</v>
      </c>
      <c r="O13" s="16">
        <v>45474</v>
      </c>
      <c r="P13" s="13">
        <v>4524120.1399999997</v>
      </c>
      <c r="Q13" s="222" t="e">
        <v>#VALUE!</v>
      </c>
    </row>
    <row r="14" spans="1:17" x14ac:dyDescent="0.2">
      <c r="A14" s="4" t="s">
        <v>32</v>
      </c>
      <c r="B14" s="13">
        <v>1168142277.4400001</v>
      </c>
      <c r="C14" s="13">
        <v>1067069617.45</v>
      </c>
      <c r="D14" s="13">
        <v>101072659.99000001</v>
      </c>
      <c r="E14" s="13">
        <v>17835563.620000001</v>
      </c>
      <c r="F14" s="13">
        <v>26355588</v>
      </c>
      <c r="G14" s="14">
        <v>3.83</v>
      </c>
      <c r="H14" s="14">
        <v>0.68</v>
      </c>
      <c r="I14" s="13">
        <v>1486296.9683333335</v>
      </c>
      <c r="J14" s="15">
        <v>0</v>
      </c>
      <c r="K14" s="13">
        <v>101072659.99000001</v>
      </c>
      <c r="L14" s="13" t="s">
        <v>20</v>
      </c>
      <c r="M14" s="13" t="s">
        <v>20</v>
      </c>
      <c r="N14" s="179">
        <v>43647</v>
      </c>
      <c r="O14" s="16">
        <v>45474</v>
      </c>
      <c r="P14" s="13">
        <v>3143867.66</v>
      </c>
      <c r="Q14" s="222" t="e">
        <v>#VALUE!</v>
      </c>
    </row>
    <row r="15" spans="1:17" x14ac:dyDescent="0.2">
      <c r="A15" s="4" t="s">
        <v>40</v>
      </c>
      <c r="B15" s="13">
        <v>203184695.25999999</v>
      </c>
      <c r="C15" s="13">
        <v>181660751.63999999</v>
      </c>
      <c r="D15" s="13">
        <v>21523943.620000005</v>
      </c>
      <c r="E15" s="13">
        <v>6319892.5800000001</v>
      </c>
      <c r="F15" s="13">
        <v>5655134</v>
      </c>
      <c r="G15" s="14">
        <v>3.81</v>
      </c>
      <c r="H15" s="14">
        <v>1.1200000000000001</v>
      </c>
      <c r="I15" s="13">
        <v>526657.71499999997</v>
      </c>
      <c r="J15" s="15">
        <v>0</v>
      </c>
      <c r="K15" s="13">
        <v>21523943.620000005</v>
      </c>
      <c r="L15" s="13" t="s">
        <v>20</v>
      </c>
      <c r="M15" s="13" t="s">
        <v>20</v>
      </c>
      <c r="N15" s="179">
        <v>43647</v>
      </c>
      <c r="O15" s="16">
        <v>45474</v>
      </c>
      <c r="P15" s="13">
        <v>1896221.82</v>
      </c>
      <c r="Q15" s="222" t="e">
        <v>#VALUE!</v>
      </c>
    </row>
    <row r="16" spans="1:17" x14ac:dyDescent="0.2">
      <c r="A16" s="4" t="s">
        <v>35</v>
      </c>
      <c r="B16" s="13">
        <v>794219275</v>
      </c>
      <c r="C16" s="13">
        <v>723790252.72000003</v>
      </c>
      <c r="D16" s="13">
        <v>70429022.279999971</v>
      </c>
      <c r="E16" s="13">
        <v>14860268.67</v>
      </c>
      <c r="F16" s="13">
        <v>19107637</v>
      </c>
      <c r="G16" s="14">
        <v>3.69</v>
      </c>
      <c r="H16" s="14">
        <v>0.78</v>
      </c>
      <c r="I16" s="13">
        <v>1238355.7224999999</v>
      </c>
      <c r="J16" s="15">
        <v>0</v>
      </c>
      <c r="K16" s="13">
        <v>70429022.279999971</v>
      </c>
      <c r="L16" s="13" t="s">
        <v>20</v>
      </c>
      <c r="M16" s="13" t="s">
        <v>20</v>
      </c>
      <c r="N16" s="179">
        <v>43647</v>
      </c>
      <c r="O16" s="16">
        <v>45474</v>
      </c>
      <c r="P16" s="13">
        <v>2191513.42</v>
      </c>
      <c r="Q16" s="222" t="e">
        <v>#VALUE!</v>
      </c>
    </row>
    <row r="17" spans="1:17" x14ac:dyDescent="0.2">
      <c r="A17" s="4" t="s">
        <v>34</v>
      </c>
      <c r="B17" s="13">
        <v>1438428739.9100001</v>
      </c>
      <c r="C17" s="13">
        <v>1327869821.0899999</v>
      </c>
      <c r="D17" s="13">
        <v>110558918.82000017</v>
      </c>
      <c r="E17" s="13">
        <v>28321728.850000001</v>
      </c>
      <c r="F17" s="13">
        <v>30065955</v>
      </c>
      <c r="G17" s="14">
        <v>3.68</v>
      </c>
      <c r="H17" s="14">
        <v>0.94</v>
      </c>
      <c r="I17" s="13">
        <v>2360144.0708333333</v>
      </c>
      <c r="J17" s="15">
        <v>0</v>
      </c>
      <c r="K17" s="13">
        <v>110558918.82000017</v>
      </c>
      <c r="L17" s="13" t="s">
        <v>20</v>
      </c>
      <c r="M17" s="13" t="s">
        <v>20</v>
      </c>
      <c r="N17" s="179">
        <v>43647</v>
      </c>
      <c r="O17" s="16">
        <v>45474</v>
      </c>
      <c r="P17" s="13">
        <v>4481298.0599999996</v>
      </c>
      <c r="Q17" s="222" t="e">
        <v>#VALUE!</v>
      </c>
    </row>
    <row r="18" spans="1:17" x14ac:dyDescent="0.2">
      <c r="A18" s="4" t="s">
        <v>39</v>
      </c>
      <c r="B18" s="13">
        <v>500565228.91000003</v>
      </c>
      <c r="C18" s="13">
        <v>461983737.69999999</v>
      </c>
      <c r="D18" s="13">
        <v>38581491.210000038</v>
      </c>
      <c r="E18" s="13">
        <v>5750692.3399999999</v>
      </c>
      <c r="F18" s="13">
        <v>10539100</v>
      </c>
      <c r="G18" s="14">
        <v>3.66</v>
      </c>
      <c r="H18" s="14">
        <v>0.55000000000000004</v>
      </c>
      <c r="I18" s="13">
        <v>479224.36166666663</v>
      </c>
      <c r="J18" s="15">
        <v>0</v>
      </c>
      <c r="K18" s="13">
        <v>38581491.210000038</v>
      </c>
      <c r="L18" s="13" t="s">
        <v>20</v>
      </c>
      <c r="M18" s="13" t="s">
        <v>20</v>
      </c>
      <c r="N18" s="179">
        <v>43647</v>
      </c>
      <c r="O18" s="16">
        <v>45474</v>
      </c>
      <c r="P18" s="13">
        <v>852146.5</v>
      </c>
      <c r="Q18" s="222" t="e">
        <v>#VALUE!</v>
      </c>
    </row>
    <row r="19" spans="1:17" x14ac:dyDescent="0.2">
      <c r="A19" s="4" t="s">
        <v>30</v>
      </c>
      <c r="B19" s="13">
        <v>1022430792.45</v>
      </c>
      <c r="C19" s="13">
        <v>952846671.03999996</v>
      </c>
      <c r="D19" s="13">
        <v>69584121.410000086</v>
      </c>
      <c r="E19" s="13">
        <v>25436439.18</v>
      </c>
      <c r="F19" s="13">
        <v>19809810</v>
      </c>
      <c r="G19" s="14">
        <v>3.51</v>
      </c>
      <c r="H19" s="14">
        <v>1.28</v>
      </c>
      <c r="I19" s="13">
        <v>2119703.2650000001</v>
      </c>
      <c r="J19" s="15">
        <v>8</v>
      </c>
      <c r="K19" s="13">
        <v>52626495.290000081</v>
      </c>
      <c r="L19" s="13">
        <v>3745562.6762500107</v>
      </c>
      <c r="M19" s="13">
        <v>2507449.5512500107</v>
      </c>
      <c r="N19" s="179">
        <v>43922</v>
      </c>
      <c r="O19" s="16">
        <v>45748</v>
      </c>
      <c r="P19" s="13">
        <v>3121842</v>
      </c>
      <c r="Q19" s="222" t="e">
        <v>#VALUE!</v>
      </c>
    </row>
    <row r="20" spans="1:17" x14ac:dyDescent="0.2">
      <c r="A20" s="4" t="s">
        <v>29</v>
      </c>
      <c r="B20" s="13">
        <v>800464324.92999995</v>
      </c>
      <c r="C20" s="13">
        <v>739282258.87</v>
      </c>
      <c r="D20" s="13">
        <v>61182066.059999943</v>
      </c>
      <c r="E20" s="13">
        <v>24022277.789999999</v>
      </c>
      <c r="F20" s="13">
        <v>17480755</v>
      </c>
      <c r="G20" s="14">
        <v>3.5</v>
      </c>
      <c r="H20" s="14">
        <v>1.37</v>
      </c>
      <c r="I20" s="13">
        <v>2001856.4824999999</v>
      </c>
      <c r="J20" s="15">
        <v>0</v>
      </c>
      <c r="K20" s="13">
        <v>61182066.059999943</v>
      </c>
      <c r="L20" s="13" t="s">
        <v>20</v>
      </c>
      <c r="M20" s="13" t="s">
        <v>20</v>
      </c>
      <c r="N20" s="179">
        <v>43647</v>
      </c>
      <c r="O20" s="16">
        <v>45474</v>
      </c>
      <c r="P20" s="13">
        <v>5243579.16</v>
      </c>
      <c r="Q20" s="222" t="e">
        <v>#VALUE!</v>
      </c>
    </row>
    <row r="21" spans="1:17" x14ac:dyDescent="0.2">
      <c r="A21" s="4" t="s">
        <v>44</v>
      </c>
      <c r="B21" s="13">
        <v>300551063.33999997</v>
      </c>
      <c r="C21" s="13">
        <v>277963843.45999998</v>
      </c>
      <c r="D21" s="13">
        <v>22587219.879999995</v>
      </c>
      <c r="E21" s="13">
        <v>10645294.960000001</v>
      </c>
      <c r="F21" s="13">
        <v>6730317</v>
      </c>
      <c r="G21" s="14">
        <v>3.36</v>
      </c>
      <c r="H21" s="14">
        <v>1.58</v>
      </c>
      <c r="I21" s="13">
        <v>887107.91333333345</v>
      </c>
      <c r="J21" s="15">
        <v>0</v>
      </c>
      <c r="K21" s="13">
        <v>22587219.879999995</v>
      </c>
      <c r="L21" s="13" t="s">
        <v>20</v>
      </c>
      <c r="M21" s="13" t="s">
        <v>20</v>
      </c>
      <c r="N21" s="179">
        <v>43647</v>
      </c>
      <c r="O21" s="16">
        <v>45474</v>
      </c>
      <c r="P21" s="13">
        <v>258743.51</v>
      </c>
      <c r="Q21" s="222" t="e">
        <v>#VALUE!</v>
      </c>
    </row>
    <row r="22" spans="1:17" x14ac:dyDescent="0.2">
      <c r="A22" s="4" t="s">
        <v>47</v>
      </c>
      <c r="B22" s="13">
        <v>104394118</v>
      </c>
      <c r="C22" s="13">
        <v>95605785.859999999</v>
      </c>
      <c r="D22" s="13">
        <v>8788332.1400000006</v>
      </c>
      <c r="E22" s="13">
        <v>1636844.77</v>
      </c>
      <c r="F22" s="13">
        <v>2677355</v>
      </c>
      <c r="G22" s="14">
        <v>3.28</v>
      </c>
      <c r="H22" s="14">
        <v>0.61</v>
      </c>
      <c r="I22" s="13">
        <v>136403.73083333333</v>
      </c>
      <c r="J22" s="15">
        <v>0</v>
      </c>
      <c r="K22" s="13">
        <v>8788332.1400000006</v>
      </c>
      <c r="L22" s="13" t="s">
        <v>20</v>
      </c>
      <c r="M22" s="13" t="s">
        <v>20</v>
      </c>
      <c r="N22" s="179">
        <v>43647</v>
      </c>
      <c r="O22" s="16">
        <v>45474</v>
      </c>
      <c r="P22" s="13">
        <v>286062.01</v>
      </c>
      <c r="Q22" s="222" t="e">
        <v>#VALUE!</v>
      </c>
    </row>
    <row r="23" spans="1:17" x14ac:dyDescent="0.2">
      <c r="A23" s="4" t="s">
        <v>43</v>
      </c>
      <c r="B23" s="13">
        <v>254239457</v>
      </c>
      <c r="C23" s="13">
        <v>235726482.37</v>
      </c>
      <c r="D23" s="13">
        <v>18512974.629999995</v>
      </c>
      <c r="E23" s="13">
        <v>4473934.0599999996</v>
      </c>
      <c r="F23" s="13">
        <v>5680880</v>
      </c>
      <c r="G23" s="14">
        <v>3.26</v>
      </c>
      <c r="H23" s="14">
        <v>0.79</v>
      </c>
      <c r="I23" s="13">
        <v>372827.83833333332</v>
      </c>
      <c r="J23" s="15">
        <v>5</v>
      </c>
      <c r="K23" s="13">
        <v>16648835.438333329</v>
      </c>
      <c r="L23" s="13">
        <v>1430242.925999999</v>
      </c>
      <c r="M23" s="13">
        <v>862154.92599999905</v>
      </c>
      <c r="N23" s="179">
        <v>43831</v>
      </c>
      <c r="O23" s="16">
        <v>45658</v>
      </c>
      <c r="P23" s="13">
        <v>344154.89</v>
      </c>
      <c r="Q23" s="222" t="e">
        <v>#VALUE!</v>
      </c>
    </row>
    <row r="24" spans="1:17" x14ac:dyDescent="0.2">
      <c r="A24" s="4" t="s">
        <v>33</v>
      </c>
      <c r="B24" s="13">
        <v>1010324720</v>
      </c>
      <c r="C24" s="13">
        <v>935536945.97000003</v>
      </c>
      <c r="D24" s="13">
        <v>74787774.029999971</v>
      </c>
      <c r="E24" s="13">
        <v>28993922.739999998</v>
      </c>
      <c r="F24" s="13">
        <v>23059848</v>
      </c>
      <c r="G24" s="14">
        <v>3.24</v>
      </c>
      <c r="H24" s="14">
        <v>1.26</v>
      </c>
      <c r="I24" s="13">
        <v>2416160.228333333</v>
      </c>
      <c r="J24" s="15">
        <v>8</v>
      </c>
      <c r="K24" s="13">
        <v>55458492.203333303</v>
      </c>
      <c r="L24" s="13">
        <v>3583509.7537499964</v>
      </c>
      <c r="M24" s="13" t="s">
        <v>42</v>
      </c>
      <c r="N24" s="179">
        <v>43922</v>
      </c>
      <c r="O24" s="16">
        <v>45748</v>
      </c>
      <c r="P24" s="13">
        <v>2227616.5299999998</v>
      </c>
      <c r="Q24" s="222" t="e">
        <v>#VALUE!</v>
      </c>
    </row>
    <row r="25" spans="1:17" x14ac:dyDescent="0.2">
      <c r="A25" s="4" t="s">
        <v>45</v>
      </c>
      <c r="B25" s="13">
        <v>2001064841.29</v>
      </c>
      <c r="C25" s="13">
        <v>1878237953.6500001</v>
      </c>
      <c r="D25" s="13">
        <v>122826887.63999987</v>
      </c>
      <c r="E25" s="13">
        <v>37911895.439999998</v>
      </c>
      <c r="F25" s="13">
        <v>40779947</v>
      </c>
      <c r="G25" s="14">
        <v>3.01</v>
      </c>
      <c r="H25" s="14">
        <v>0.93</v>
      </c>
      <c r="I25" s="13">
        <v>3159324.6199999996</v>
      </c>
      <c r="J25" s="15">
        <v>5</v>
      </c>
      <c r="K25" s="13">
        <v>107030264.53999987</v>
      </c>
      <c r="L25" s="13">
        <v>8253398.7279999731</v>
      </c>
      <c r="M25" s="13">
        <v>4175404.0279999734</v>
      </c>
      <c r="N25" s="179">
        <v>43831</v>
      </c>
      <c r="O25" s="16">
        <v>45658</v>
      </c>
      <c r="P25" s="13">
        <v>4294538.03</v>
      </c>
      <c r="Q25" s="222" t="e">
        <v>#VALUE!</v>
      </c>
    </row>
    <row r="26" spans="1:17" x14ac:dyDescent="0.2">
      <c r="A26" s="4" t="s">
        <v>51</v>
      </c>
      <c r="B26" s="13">
        <v>1059732308</v>
      </c>
      <c r="C26" s="13">
        <v>989190653.25999999</v>
      </c>
      <c r="D26" s="13">
        <v>70541654.74000001</v>
      </c>
      <c r="E26" s="13">
        <v>19270478.609999999</v>
      </c>
      <c r="F26" s="13">
        <v>24168777</v>
      </c>
      <c r="G26" s="14">
        <v>2.92</v>
      </c>
      <c r="H26" s="14">
        <v>0.8</v>
      </c>
      <c r="I26" s="13">
        <v>1605873.2175</v>
      </c>
      <c r="J26" s="15">
        <v>5</v>
      </c>
      <c r="K26" s="13">
        <v>62512288.652500011</v>
      </c>
      <c r="L26" s="13">
        <v>4440820.1480000019</v>
      </c>
      <c r="M26" s="13">
        <v>2023942.448000002</v>
      </c>
      <c r="N26" s="179">
        <v>43831</v>
      </c>
      <c r="O26" s="16">
        <v>45658</v>
      </c>
      <c r="P26" s="13">
        <v>3987153.81</v>
      </c>
      <c r="Q26" s="222" t="e">
        <v>#VALUE!</v>
      </c>
    </row>
    <row r="27" spans="1:17" x14ac:dyDescent="0.2">
      <c r="A27" s="4" t="s">
        <v>41</v>
      </c>
      <c r="B27" s="13">
        <v>1228777673.53</v>
      </c>
      <c r="C27" s="13">
        <v>1089989289.7</v>
      </c>
      <c r="D27" s="13">
        <v>138788383.82999992</v>
      </c>
      <c r="E27" s="13">
        <v>49901913.840000004</v>
      </c>
      <c r="F27" s="13">
        <v>47456120</v>
      </c>
      <c r="G27" s="14">
        <v>2.92</v>
      </c>
      <c r="H27" s="14">
        <v>1.05</v>
      </c>
      <c r="I27" s="13">
        <v>4158492.8200000003</v>
      </c>
      <c r="J27" s="15">
        <v>5</v>
      </c>
      <c r="K27" s="13">
        <v>117995919.72999993</v>
      </c>
      <c r="L27" s="13">
        <v>8775228.765999984</v>
      </c>
      <c r="M27" s="13" t="s">
        <v>42</v>
      </c>
      <c r="N27" s="179">
        <v>43831</v>
      </c>
      <c r="O27" s="16">
        <v>45658</v>
      </c>
      <c r="P27" s="13">
        <v>4784226.54</v>
      </c>
      <c r="Q27" s="222" t="e">
        <v>#VALUE!</v>
      </c>
    </row>
    <row r="28" spans="1:17" x14ac:dyDescent="0.2">
      <c r="A28" s="4" t="s">
        <v>49</v>
      </c>
      <c r="B28" s="13">
        <v>1239472339.1700001</v>
      </c>
      <c r="C28" s="13">
        <v>1170697406.03</v>
      </c>
      <c r="D28" s="13">
        <v>68774933.140000105</v>
      </c>
      <c r="E28" s="13">
        <v>21741707.77</v>
      </c>
      <c r="F28" s="13">
        <v>24088947</v>
      </c>
      <c r="G28" s="14">
        <v>2.86</v>
      </c>
      <c r="H28" s="14">
        <v>0.9</v>
      </c>
      <c r="I28" s="13">
        <v>1811808.9808333332</v>
      </c>
      <c r="J28" s="15">
        <v>0</v>
      </c>
      <c r="K28" s="13">
        <v>68774933.140000105</v>
      </c>
      <c r="L28" s="13" t="s">
        <v>20</v>
      </c>
      <c r="M28" s="13" t="s">
        <v>20</v>
      </c>
      <c r="N28" s="179">
        <v>43647</v>
      </c>
      <c r="O28" s="16">
        <v>45474</v>
      </c>
      <c r="P28" s="13">
        <v>2096703.49</v>
      </c>
      <c r="Q28" s="222" t="e">
        <v>#VALUE!</v>
      </c>
    </row>
    <row r="29" spans="1:17" x14ac:dyDescent="0.2">
      <c r="A29" s="4" t="s">
        <v>50</v>
      </c>
      <c r="B29" s="13">
        <v>1642297566.0699999</v>
      </c>
      <c r="C29" s="13">
        <v>1527177981.8</v>
      </c>
      <c r="D29" s="13">
        <v>115119584.26999998</v>
      </c>
      <c r="E29" s="13">
        <v>35358889.07</v>
      </c>
      <c r="F29" s="13">
        <v>40984884</v>
      </c>
      <c r="G29" s="14">
        <v>2.81</v>
      </c>
      <c r="H29" s="14">
        <v>0.86</v>
      </c>
      <c r="I29" s="13">
        <v>2946574.0891666668</v>
      </c>
      <c r="J29" s="15">
        <v>0</v>
      </c>
      <c r="K29" s="13">
        <v>115119584.26999998</v>
      </c>
      <c r="L29" s="13" t="s">
        <v>20</v>
      </c>
      <c r="M29" s="13" t="s">
        <v>20</v>
      </c>
      <c r="N29" s="179">
        <v>43647</v>
      </c>
      <c r="O29" s="16">
        <v>45474</v>
      </c>
      <c r="P29" s="13">
        <v>5211854.93</v>
      </c>
      <c r="Q29" s="222" t="e">
        <v>#VALUE!</v>
      </c>
    </row>
    <row r="30" spans="1:17" x14ac:dyDescent="0.2">
      <c r="A30" s="4" t="s">
        <v>46</v>
      </c>
      <c r="B30" s="13">
        <v>314446387.48000002</v>
      </c>
      <c r="C30" s="13">
        <v>291089659.38999999</v>
      </c>
      <c r="D30" s="13">
        <v>23356728.090000033</v>
      </c>
      <c r="E30" s="13">
        <v>8843373.0600000005</v>
      </c>
      <c r="F30" s="13">
        <v>8369791</v>
      </c>
      <c r="G30" s="14">
        <v>2.79</v>
      </c>
      <c r="H30" s="14">
        <v>1.06</v>
      </c>
      <c r="I30" s="13">
        <v>736947.755</v>
      </c>
      <c r="J30" s="15">
        <v>0</v>
      </c>
      <c r="K30" s="13">
        <v>23356728.090000033</v>
      </c>
      <c r="L30" s="13" t="s">
        <v>20</v>
      </c>
      <c r="M30" s="13" t="s">
        <v>20</v>
      </c>
      <c r="N30" s="179">
        <v>43647</v>
      </c>
      <c r="O30" s="16">
        <v>45474</v>
      </c>
      <c r="P30" s="13">
        <v>1625751.76</v>
      </c>
      <c r="Q30" s="222" t="e">
        <v>#VALUE!</v>
      </c>
    </row>
    <row r="31" spans="1:17" x14ac:dyDescent="0.2">
      <c r="A31" s="4" t="s">
        <v>36</v>
      </c>
      <c r="B31" s="13">
        <v>392634217.93000001</v>
      </c>
      <c r="C31" s="13">
        <v>366852172.00999999</v>
      </c>
      <c r="D31" s="13">
        <v>25782045.920000017</v>
      </c>
      <c r="E31" s="13">
        <v>15461438.050000001</v>
      </c>
      <c r="F31" s="13">
        <v>9305817</v>
      </c>
      <c r="G31" s="14">
        <v>2.77</v>
      </c>
      <c r="H31" s="14">
        <v>1.66</v>
      </c>
      <c r="I31" s="13">
        <v>1288453.1708333334</v>
      </c>
      <c r="J31" s="15">
        <v>8</v>
      </c>
      <c r="K31" s="13">
        <v>15474420.55333335</v>
      </c>
      <c r="L31" s="13" t="s">
        <v>42</v>
      </c>
      <c r="M31" s="13" t="s">
        <v>42</v>
      </c>
      <c r="N31" s="179">
        <v>43556</v>
      </c>
      <c r="O31" s="16">
        <v>45748</v>
      </c>
      <c r="P31" s="13">
        <v>462350.98</v>
      </c>
      <c r="Q31" s="222" t="e">
        <v>#VALUE!</v>
      </c>
    </row>
    <row r="32" spans="1:17" x14ac:dyDescent="0.2">
      <c r="A32" s="4" t="s">
        <v>55</v>
      </c>
      <c r="B32" s="13">
        <v>675052951</v>
      </c>
      <c r="C32" s="13">
        <v>634171028.24000001</v>
      </c>
      <c r="D32" s="13">
        <v>40881922.75999999</v>
      </c>
      <c r="E32" s="13">
        <v>9666488.5999999996</v>
      </c>
      <c r="F32" s="13">
        <v>14786581</v>
      </c>
      <c r="G32" s="14">
        <v>2.76</v>
      </c>
      <c r="H32" s="14">
        <v>0.65</v>
      </c>
      <c r="I32" s="13">
        <v>805540.71666666667</v>
      </c>
      <c r="J32" s="15">
        <v>5</v>
      </c>
      <c r="K32" s="13">
        <v>36854219.176666655</v>
      </c>
      <c r="L32" s="13">
        <v>2261752.1519999979</v>
      </c>
      <c r="M32" s="13" t="s">
        <v>42</v>
      </c>
      <c r="N32" s="179">
        <v>43466</v>
      </c>
      <c r="O32" s="16">
        <v>45658</v>
      </c>
      <c r="P32" s="13">
        <v>978427.03</v>
      </c>
      <c r="Q32" s="222" t="e">
        <v>#VALUE!</v>
      </c>
    </row>
    <row r="33" spans="1:17" x14ac:dyDescent="0.2">
      <c r="A33" s="4" t="s">
        <v>38</v>
      </c>
      <c r="B33" s="13">
        <v>528328839.02999997</v>
      </c>
      <c r="C33" s="13">
        <v>490180864.73000002</v>
      </c>
      <c r="D33" s="13">
        <v>38147974.299999952</v>
      </c>
      <c r="E33" s="13">
        <v>18566202.489999998</v>
      </c>
      <c r="F33" s="13">
        <v>13880022</v>
      </c>
      <c r="G33" s="14">
        <v>2.75</v>
      </c>
      <c r="H33" s="14">
        <v>1.34</v>
      </c>
      <c r="I33" s="13">
        <v>1547183.5408333333</v>
      </c>
      <c r="J33" s="15">
        <v>0</v>
      </c>
      <c r="K33" s="13">
        <v>38147974.299999952</v>
      </c>
      <c r="L33" s="13" t="s">
        <v>20</v>
      </c>
      <c r="M33" s="13" t="s">
        <v>20</v>
      </c>
      <c r="N33" s="179">
        <v>43647</v>
      </c>
      <c r="O33" s="16">
        <v>45474</v>
      </c>
      <c r="P33" s="13">
        <v>0</v>
      </c>
      <c r="Q33" s="222" t="e">
        <v>#VALUE!</v>
      </c>
    </row>
    <row r="34" spans="1:17" x14ac:dyDescent="0.2">
      <c r="A34" s="4" t="s">
        <v>56</v>
      </c>
      <c r="B34" s="13">
        <v>1154905413</v>
      </c>
      <c r="C34" s="13">
        <v>1083105598.55</v>
      </c>
      <c r="D34" s="13">
        <v>71799814.450000048</v>
      </c>
      <c r="E34" s="13">
        <v>20888839.829999998</v>
      </c>
      <c r="F34" s="13">
        <v>27571438</v>
      </c>
      <c r="G34" s="14">
        <v>2.6</v>
      </c>
      <c r="H34" s="14">
        <v>0.76</v>
      </c>
      <c r="I34" s="13">
        <v>1740736.6524999999</v>
      </c>
      <c r="J34" s="15">
        <v>0</v>
      </c>
      <c r="K34" s="13">
        <v>71799814.450000048</v>
      </c>
      <c r="L34" s="13" t="s">
        <v>20</v>
      </c>
      <c r="M34" s="13" t="s">
        <v>20</v>
      </c>
      <c r="N34" s="179">
        <v>43647</v>
      </c>
      <c r="O34" s="16">
        <v>45474</v>
      </c>
      <c r="P34" s="13">
        <v>3713523.35</v>
      </c>
      <c r="Q34" s="222" t="e">
        <v>#VALUE!</v>
      </c>
    </row>
    <row r="35" spans="1:17" x14ac:dyDescent="0.2">
      <c r="A35" s="4" t="s">
        <v>64</v>
      </c>
      <c r="B35" s="13">
        <v>346058940</v>
      </c>
      <c r="C35" s="13">
        <v>322896290.56</v>
      </c>
      <c r="D35" s="13">
        <v>23162649.439999998</v>
      </c>
      <c r="E35" s="13">
        <v>5222195.37</v>
      </c>
      <c r="F35" s="13">
        <v>9353201</v>
      </c>
      <c r="G35" s="14">
        <v>2.48</v>
      </c>
      <c r="H35" s="14">
        <v>0.56000000000000005</v>
      </c>
      <c r="I35" s="13">
        <v>435182.94750000001</v>
      </c>
      <c r="J35" s="15">
        <v>5</v>
      </c>
      <c r="K35" s="13">
        <v>20986734.702499997</v>
      </c>
      <c r="L35" s="13">
        <v>891249.48799999955</v>
      </c>
      <c r="M35" s="13" t="s">
        <v>42</v>
      </c>
      <c r="N35" s="179">
        <v>43831</v>
      </c>
      <c r="O35" s="16">
        <v>45658</v>
      </c>
      <c r="P35" s="13">
        <v>991191.76</v>
      </c>
      <c r="Q35" s="222" t="e">
        <v>#VALUE!</v>
      </c>
    </row>
    <row r="36" spans="1:17" x14ac:dyDescent="0.2">
      <c r="A36" s="4" t="s">
        <v>52</v>
      </c>
      <c r="B36" s="13">
        <v>522049097</v>
      </c>
      <c r="C36" s="13">
        <v>490860801.89999998</v>
      </c>
      <c r="D36" s="13">
        <v>31188295.100000024</v>
      </c>
      <c r="E36" s="13">
        <v>14349248.710000001</v>
      </c>
      <c r="F36" s="13">
        <v>13105608</v>
      </c>
      <c r="G36" s="14">
        <v>2.38</v>
      </c>
      <c r="H36" s="14">
        <v>1.0900000000000001</v>
      </c>
      <c r="I36" s="13">
        <v>1195770.7258333333</v>
      </c>
      <c r="J36" s="15">
        <v>0</v>
      </c>
      <c r="K36" s="13">
        <v>31188295.100000024</v>
      </c>
      <c r="L36" s="13" t="s">
        <v>20</v>
      </c>
      <c r="M36" s="13" t="s">
        <v>42</v>
      </c>
      <c r="N36" s="179">
        <v>43647</v>
      </c>
      <c r="O36" s="16">
        <v>45474</v>
      </c>
      <c r="P36" s="13">
        <v>1768746.27</v>
      </c>
      <c r="Q36" s="222" t="e">
        <v>#VALUE!</v>
      </c>
    </row>
    <row r="37" spans="1:17" x14ac:dyDescent="0.2">
      <c r="A37" s="4" t="s">
        <v>48</v>
      </c>
      <c r="B37" s="13">
        <v>545409679.30999994</v>
      </c>
      <c r="C37" s="13">
        <v>517912006.19</v>
      </c>
      <c r="D37" s="13">
        <v>27497673.119999945</v>
      </c>
      <c r="E37" s="13">
        <v>15810034.880000001</v>
      </c>
      <c r="F37" s="13">
        <v>11656242</v>
      </c>
      <c r="G37" s="14">
        <v>2.36</v>
      </c>
      <c r="H37" s="14">
        <v>1.36</v>
      </c>
      <c r="I37" s="13">
        <v>1317502.9066666667</v>
      </c>
      <c r="J37" s="15">
        <v>5</v>
      </c>
      <c r="K37" s="13">
        <v>20910158.586666614</v>
      </c>
      <c r="L37" s="13" t="s">
        <v>42</v>
      </c>
      <c r="M37" s="13" t="s">
        <v>42</v>
      </c>
      <c r="N37" s="179">
        <v>43831</v>
      </c>
      <c r="O37" s="16">
        <v>45658</v>
      </c>
      <c r="P37" s="13">
        <v>2273760.88</v>
      </c>
      <c r="Q37" s="222" t="e">
        <v>#VALUE!</v>
      </c>
    </row>
    <row r="38" spans="1:17" x14ac:dyDescent="0.2">
      <c r="A38" s="4" t="s">
        <v>53</v>
      </c>
      <c r="B38" s="13">
        <v>2879313105.54</v>
      </c>
      <c r="C38" s="13">
        <v>2712527264.0300002</v>
      </c>
      <c r="D38" s="13">
        <v>166785841.50999975</v>
      </c>
      <c r="E38" s="13">
        <v>75485181.120000005</v>
      </c>
      <c r="F38" s="13">
        <v>70613641</v>
      </c>
      <c r="G38" s="14">
        <v>2.36</v>
      </c>
      <c r="H38" s="14">
        <v>1.07</v>
      </c>
      <c r="I38" s="13">
        <v>6290431.7600000007</v>
      </c>
      <c r="J38" s="15">
        <v>1</v>
      </c>
      <c r="K38" s="13">
        <v>160495409.74999976</v>
      </c>
      <c r="L38" s="13">
        <v>25558559.509999752</v>
      </c>
      <c r="M38" s="13" t="s">
        <v>42</v>
      </c>
      <c r="N38" s="179">
        <v>44075</v>
      </c>
      <c r="O38" s="16">
        <v>45536</v>
      </c>
      <c r="P38" s="13">
        <v>13896799.560000001</v>
      </c>
      <c r="Q38" s="222" t="e">
        <v>#VALUE!</v>
      </c>
    </row>
    <row r="39" spans="1:17" x14ac:dyDescent="0.2">
      <c r="A39" s="4" t="s">
        <v>61</v>
      </c>
      <c r="B39" s="13">
        <v>1085275104.5</v>
      </c>
      <c r="C39" s="13">
        <v>1033644591.78</v>
      </c>
      <c r="D39" s="13">
        <v>51630512.720000029</v>
      </c>
      <c r="E39" s="13">
        <v>21958926.690000001</v>
      </c>
      <c r="F39" s="13">
        <v>22858857</v>
      </c>
      <c r="G39" s="14">
        <v>2.2599999999999998</v>
      </c>
      <c r="H39" s="14">
        <v>0.96</v>
      </c>
      <c r="I39" s="13">
        <v>1829910.5575000001</v>
      </c>
      <c r="J39" s="15">
        <v>8</v>
      </c>
      <c r="K39" s="13">
        <v>36991228.260000028</v>
      </c>
      <c r="L39" s="13" t="s">
        <v>42</v>
      </c>
      <c r="M39" s="13" t="s">
        <v>42</v>
      </c>
      <c r="N39" s="179">
        <v>43556</v>
      </c>
      <c r="O39" s="16">
        <v>45748</v>
      </c>
      <c r="P39" s="13">
        <v>4862206.78</v>
      </c>
      <c r="Q39" s="222" t="e">
        <v>#VALUE!</v>
      </c>
    </row>
    <row r="40" spans="1:17" x14ac:dyDescent="0.2">
      <c r="A40" s="4" t="s">
        <v>54</v>
      </c>
      <c r="B40" s="13">
        <v>1394382977.99</v>
      </c>
      <c r="C40" s="13">
        <v>1315441010.5599999</v>
      </c>
      <c r="D40" s="13">
        <v>78941967.430000067</v>
      </c>
      <c r="E40" s="13">
        <v>39862752.700000003</v>
      </c>
      <c r="F40" s="13">
        <v>34869850</v>
      </c>
      <c r="G40" s="14">
        <v>2.2599999999999998</v>
      </c>
      <c r="H40" s="14">
        <v>1.1399999999999999</v>
      </c>
      <c r="I40" s="13">
        <v>3321896.0583333336</v>
      </c>
      <c r="J40" s="15">
        <v>8</v>
      </c>
      <c r="K40" s="13">
        <v>52366798.963333398</v>
      </c>
      <c r="L40" s="13" t="s">
        <v>42</v>
      </c>
      <c r="M40" s="13" t="s">
        <v>42</v>
      </c>
      <c r="N40" s="179">
        <v>43922</v>
      </c>
      <c r="O40" s="16">
        <v>45748</v>
      </c>
      <c r="P40" s="13">
        <v>7363245.0499999998</v>
      </c>
      <c r="Q40" s="222" t="e">
        <v>#VALUE!</v>
      </c>
    </row>
    <row r="41" spans="1:17" x14ac:dyDescent="0.2">
      <c r="A41" s="4" t="s">
        <v>60</v>
      </c>
      <c r="B41" s="13">
        <v>342887810.45999998</v>
      </c>
      <c r="C41" s="13">
        <v>324512478.30000001</v>
      </c>
      <c r="D41" s="13">
        <v>18375332.159999967</v>
      </c>
      <c r="E41" s="13">
        <v>8032987.0199999996</v>
      </c>
      <c r="F41" s="13">
        <v>8236180</v>
      </c>
      <c r="G41" s="14">
        <v>2.23</v>
      </c>
      <c r="H41" s="14">
        <v>0.98</v>
      </c>
      <c r="I41" s="13">
        <v>669415.58499999996</v>
      </c>
      <c r="J41" s="15">
        <v>8</v>
      </c>
      <c r="K41" s="13">
        <v>13020007.479999967</v>
      </c>
      <c r="L41" s="13" t="s">
        <v>42</v>
      </c>
      <c r="M41" s="13" t="s">
        <v>42</v>
      </c>
      <c r="N41" s="179">
        <v>43556</v>
      </c>
      <c r="O41" s="16">
        <v>45748</v>
      </c>
      <c r="P41" s="13">
        <v>522212.04</v>
      </c>
      <c r="Q41" s="222" t="e">
        <v>#VALUE!</v>
      </c>
    </row>
    <row r="42" spans="1:17" x14ac:dyDescent="0.2">
      <c r="A42" s="4" t="s">
        <v>58</v>
      </c>
      <c r="B42" s="13">
        <v>1205115490</v>
      </c>
      <c r="C42" s="13">
        <v>1155708205.0599999</v>
      </c>
      <c r="D42" s="13">
        <v>49407284.940000057</v>
      </c>
      <c r="E42" s="13">
        <v>24722787.030000001</v>
      </c>
      <c r="F42" s="13">
        <v>22499042</v>
      </c>
      <c r="G42" s="14">
        <v>2.2000000000000002</v>
      </c>
      <c r="H42" s="14">
        <v>1.1000000000000001</v>
      </c>
      <c r="I42" s="13">
        <v>2060232.2525000002</v>
      </c>
      <c r="J42" s="15">
        <v>8</v>
      </c>
      <c r="K42" s="13">
        <v>32925426.920000054</v>
      </c>
      <c r="L42" s="13" t="s">
        <v>42</v>
      </c>
      <c r="M42" s="13" t="s">
        <v>42</v>
      </c>
      <c r="N42" s="179">
        <v>43922</v>
      </c>
      <c r="O42" s="16">
        <v>45748</v>
      </c>
      <c r="P42" s="13">
        <v>3139085.46</v>
      </c>
      <c r="Q42" s="222" t="e">
        <v>#VALUE!</v>
      </c>
    </row>
    <row r="43" spans="1:17" x14ac:dyDescent="0.2">
      <c r="A43" s="4" t="s">
        <v>63</v>
      </c>
      <c r="B43" s="13">
        <v>1309738768.5599999</v>
      </c>
      <c r="C43" s="13">
        <v>1242310209.71</v>
      </c>
      <c r="D43" s="13">
        <v>67428558.849999905</v>
      </c>
      <c r="E43" s="13">
        <v>27030468.809999999</v>
      </c>
      <c r="F43" s="13">
        <v>30738746</v>
      </c>
      <c r="G43" s="14">
        <v>2.19</v>
      </c>
      <c r="H43" s="14">
        <v>0.88</v>
      </c>
      <c r="I43" s="13">
        <v>2252539.0674999999</v>
      </c>
      <c r="J43" s="15">
        <v>0</v>
      </c>
      <c r="K43" s="13">
        <v>67428558.849999905</v>
      </c>
      <c r="L43" s="13" t="s">
        <v>20</v>
      </c>
      <c r="M43" s="13" t="s">
        <v>42</v>
      </c>
      <c r="N43" s="179">
        <v>43647</v>
      </c>
      <c r="O43" s="16">
        <v>45474</v>
      </c>
      <c r="P43" s="13">
        <v>5287483.1500000004</v>
      </c>
      <c r="Q43" s="222" t="e">
        <v>#VALUE!</v>
      </c>
    </row>
    <row r="44" spans="1:17" x14ac:dyDescent="0.2">
      <c r="A44" s="4" t="s">
        <v>57</v>
      </c>
      <c r="B44" s="13">
        <v>98701064</v>
      </c>
      <c r="C44" s="13">
        <v>92635618.599999994</v>
      </c>
      <c r="D44" s="13">
        <v>6065445.400000006</v>
      </c>
      <c r="E44" s="13">
        <v>3609677.95</v>
      </c>
      <c r="F44" s="13">
        <v>2898567</v>
      </c>
      <c r="G44" s="14">
        <v>2.09</v>
      </c>
      <c r="H44" s="14">
        <v>1.25</v>
      </c>
      <c r="I44" s="13">
        <v>300806.49583333335</v>
      </c>
      <c r="J44" s="15">
        <v>0</v>
      </c>
      <c r="K44" s="13">
        <v>6065445.400000006</v>
      </c>
      <c r="L44" s="13" t="s">
        <v>20</v>
      </c>
      <c r="M44" s="13" t="s">
        <v>42</v>
      </c>
      <c r="N44" s="179">
        <v>43647</v>
      </c>
      <c r="O44" s="16">
        <v>45474</v>
      </c>
      <c r="P44" s="13">
        <v>19385.5</v>
      </c>
      <c r="Q44" s="222" t="e">
        <v>#VALUE!</v>
      </c>
    </row>
    <row r="45" spans="1:17" x14ac:dyDescent="0.2">
      <c r="A45" s="4" t="s">
        <v>62</v>
      </c>
      <c r="B45" s="13">
        <v>685388676.61000001</v>
      </c>
      <c r="C45" s="13">
        <v>658394264.75</v>
      </c>
      <c r="D45" s="13">
        <v>26994411.860000014</v>
      </c>
      <c r="E45" s="13">
        <v>17113753.280000001</v>
      </c>
      <c r="F45" s="13">
        <v>13963452</v>
      </c>
      <c r="G45" s="14">
        <v>1.93</v>
      </c>
      <c r="H45" s="14">
        <v>1.23</v>
      </c>
      <c r="I45" s="13">
        <v>1426146.1066666667</v>
      </c>
      <c r="J45" s="15">
        <v>8</v>
      </c>
      <c r="K45" s="13">
        <v>15585243.006666681</v>
      </c>
      <c r="L45" s="13" t="s">
        <v>42</v>
      </c>
      <c r="M45" s="13" t="s">
        <v>42</v>
      </c>
      <c r="N45" s="179">
        <v>43922</v>
      </c>
      <c r="O45" s="16">
        <v>45748</v>
      </c>
      <c r="P45" s="13">
        <v>1438365.12</v>
      </c>
      <c r="Q45" s="222" t="e">
        <v>#VALUE!</v>
      </c>
    </row>
    <row r="46" spans="1:17" x14ac:dyDescent="0.2">
      <c r="A46" s="4" t="s">
        <v>66</v>
      </c>
      <c r="B46" s="13">
        <v>1940110596.77</v>
      </c>
      <c r="C46" s="13">
        <v>1853763033.99</v>
      </c>
      <c r="D46" s="13">
        <v>86347562.779999971</v>
      </c>
      <c r="E46" s="13">
        <v>41031459.899999999</v>
      </c>
      <c r="F46" s="13">
        <v>45492764</v>
      </c>
      <c r="G46" s="14">
        <v>1.9</v>
      </c>
      <c r="H46" s="14">
        <v>0.9</v>
      </c>
      <c r="I46" s="13">
        <v>3419288.3249999997</v>
      </c>
      <c r="J46" s="15">
        <v>0</v>
      </c>
      <c r="K46" s="13">
        <v>86347562.779999971</v>
      </c>
      <c r="L46" s="13" t="s">
        <v>42</v>
      </c>
      <c r="M46" s="13" t="s">
        <v>42</v>
      </c>
      <c r="N46" s="179">
        <v>43647</v>
      </c>
      <c r="O46" s="16">
        <v>45474</v>
      </c>
      <c r="P46" s="13">
        <v>5703695.54</v>
      </c>
      <c r="Q46" s="222" t="e">
        <v>#VALUE!</v>
      </c>
    </row>
    <row r="47" spans="1:17" x14ac:dyDescent="0.2">
      <c r="A47" s="4" t="s">
        <v>67</v>
      </c>
      <c r="B47" s="13">
        <v>1082941284</v>
      </c>
      <c r="C47" s="13">
        <v>1033521967.22</v>
      </c>
      <c r="D47" s="13">
        <v>49419316.779999971</v>
      </c>
      <c r="E47" s="13">
        <v>26849535.390000001</v>
      </c>
      <c r="F47" s="13">
        <v>27168342</v>
      </c>
      <c r="G47" s="14">
        <v>1.82</v>
      </c>
      <c r="H47" s="14">
        <v>0.99</v>
      </c>
      <c r="I47" s="13">
        <v>2237461.2825000002</v>
      </c>
      <c r="J47" s="15">
        <v>8</v>
      </c>
      <c r="K47" s="13">
        <v>31519626.51999997</v>
      </c>
      <c r="L47" s="13" t="s">
        <v>42</v>
      </c>
      <c r="M47" s="13" t="s">
        <v>42</v>
      </c>
      <c r="N47" s="179">
        <v>43922</v>
      </c>
      <c r="O47" s="16">
        <v>45748</v>
      </c>
      <c r="P47" s="13">
        <v>1589699.62</v>
      </c>
      <c r="Q47" s="222" t="e">
        <v>#VALUE!</v>
      </c>
    </row>
    <row r="48" spans="1:17" x14ac:dyDescent="0.2">
      <c r="A48" s="4" t="s">
        <v>59</v>
      </c>
      <c r="B48" s="13">
        <v>277600986</v>
      </c>
      <c r="C48" s="13">
        <v>264258089.03</v>
      </c>
      <c r="D48" s="13">
        <v>13342896.969999999</v>
      </c>
      <c r="E48" s="13">
        <v>10769526.550000001</v>
      </c>
      <c r="F48" s="13">
        <v>7461397</v>
      </c>
      <c r="G48" s="14">
        <v>1.79</v>
      </c>
      <c r="H48" s="14">
        <v>1.44</v>
      </c>
      <c r="I48" s="13">
        <v>897460.5458333334</v>
      </c>
      <c r="J48" s="15">
        <v>0</v>
      </c>
      <c r="K48" s="13">
        <v>13342896.969999999</v>
      </c>
      <c r="L48" s="13" t="s">
        <v>42</v>
      </c>
      <c r="M48" s="13" t="s">
        <v>42</v>
      </c>
      <c r="N48" s="179">
        <v>43647</v>
      </c>
      <c r="O48" s="16">
        <v>45474</v>
      </c>
      <c r="P48" s="13">
        <v>3650965</v>
      </c>
      <c r="Q48" s="222" t="e">
        <v>#VALUE!</v>
      </c>
    </row>
    <row r="49" spans="1:17" x14ac:dyDescent="0.2">
      <c r="A49" s="4" t="s">
        <v>68</v>
      </c>
      <c r="B49" s="13">
        <v>497245980</v>
      </c>
      <c r="C49" s="13">
        <v>476819493.38</v>
      </c>
      <c r="D49" s="13">
        <v>20426486.620000005</v>
      </c>
      <c r="E49" s="13">
        <v>10458091.26</v>
      </c>
      <c r="F49" s="13">
        <v>11808636</v>
      </c>
      <c r="G49" s="14">
        <v>1.73</v>
      </c>
      <c r="H49" s="14">
        <v>0.89</v>
      </c>
      <c r="I49" s="13">
        <v>871507.60499999998</v>
      </c>
      <c r="J49" s="15">
        <v>5</v>
      </c>
      <c r="K49" s="13">
        <v>16068948.595000004</v>
      </c>
      <c r="L49" s="13" t="s">
        <v>42</v>
      </c>
      <c r="M49" s="13" t="s">
        <v>42</v>
      </c>
      <c r="N49" s="179">
        <v>43831</v>
      </c>
      <c r="O49" s="16">
        <v>45658</v>
      </c>
      <c r="P49" s="13">
        <v>1625151.35</v>
      </c>
      <c r="Q49" s="222" t="e">
        <v>#VALUE!</v>
      </c>
    </row>
    <row r="50" spans="1:17" x14ac:dyDescent="0.2">
      <c r="A50" s="4" t="s">
        <v>65</v>
      </c>
      <c r="B50" s="13">
        <v>389160034</v>
      </c>
      <c r="C50" s="13">
        <v>372361356.38</v>
      </c>
      <c r="D50" s="13">
        <v>16798677.620000005</v>
      </c>
      <c r="E50" s="13">
        <v>11628531.289999999</v>
      </c>
      <c r="F50" s="13">
        <v>10126728</v>
      </c>
      <c r="G50" s="14">
        <v>1.66</v>
      </c>
      <c r="H50" s="14">
        <v>1.1499999999999999</v>
      </c>
      <c r="I50" s="13">
        <v>969044.27416666655</v>
      </c>
      <c r="J50" s="15">
        <v>0</v>
      </c>
      <c r="K50" s="13">
        <v>16798677.620000005</v>
      </c>
      <c r="L50" s="13" t="s">
        <v>42</v>
      </c>
      <c r="M50" s="13" t="s">
        <v>42</v>
      </c>
      <c r="N50" s="179">
        <v>43647</v>
      </c>
      <c r="O50" s="16">
        <v>45474</v>
      </c>
      <c r="P50" s="13">
        <v>2375029.17</v>
      </c>
      <c r="Q50" s="222" t="e">
        <v>#VALUE!</v>
      </c>
    </row>
    <row r="51" spans="1:17" x14ac:dyDescent="0.2">
      <c r="A51" s="4" t="s">
        <v>69</v>
      </c>
      <c r="B51" s="13">
        <v>238203233</v>
      </c>
      <c r="C51" s="13">
        <v>229569356.69999999</v>
      </c>
      <c r="D51" s="13">
        <v>8633876.3000000119</v>
      </c>
      <c r="E51" s="13">
        <v>4619674.42</v>
      </c>
      <c r="F51" s="13">
        <v>5501208</v>
      </c>
      <c r="G51" s="14">
        <v>1.57</v>
      </c>
      <c r="H51" s="14">
        <v>0.84</v>
      </c>
      <c r="I51" s="13">
        <v>384972.86833333335</v>
      </c>
      <c r="J51" s="15">
        <v>0</v>
      </c>
      <c r="K51" s="13">
        <v>8633876.3000000119</v>
      </c>
      <c r="L51" s="13" t="s">
        <v>42</v>
      </c>
      <c r="M51" s="13" t="s">
        <v>42</v>
      </c>
      <c r="N51" s="179">
        <v>43647</v>
      </c>
      <c r="O51" s="16">
        <v>45474</v>
      </c>
      <c r="P51" s="13">
        <v>0</v>
      </c>
      <c r="Q51" s="222" t="e">
        <v>#VALUE!</v>
      </c>
    </row>
    <row r="52" spans="1:17" x14ac:dyDescent="0.2">
      <c r="A52" s="4" t="s">
        <v>70</v>
      </c>
      <c r="B52" s="13">
        <v>75470621</v>
      </c>
      <c r="C52" s="13">
        <v>72247586.959999993</v>
      </c>
      <c r="D52" s="18">
        <v>3223034.0400000066</v>
      </c>
      <c r="E52" s="13">
        <v>1795500.51</v>
      </c>
      <c r="F52" s="13">
        <v>2752623</v>
      </c>
      <c r="G52" s="14">
        <v>1.17</v>
      </c>
      <c r="H52" s="14">
        <v>0.65</v>
      </c>
      <c r="I52" s="18">
        <v>149625.04250000001</v>
      </c>
      <c r="J52" s="15">
        <v>0</v>
      </c>
      <c r="K52" s="18">
        <v>3223034.0400000066</v>
      </c>
      <c r="L52" s="18" t="s">
        <v>42</v>
      </c>
      <c r="M52" s="18" t="s">
        <v>42</v>
      </c>
      <c r="N52" s="180">
        <v>43647</v>
      </c>
      <c r="O52" s="16">
        <v>45474</v>
      </c>
      <c r="P52" s="13">
        <v>398093.86</v>
      </c>
      <c r="Q52" s="222" t="e">
        <v>#VALUE!</v>
      </c>
    </row>
    <row r="53" spans="1:17" x14ac:dyDescent="0.25">
      <c r="A53" s="34" t="s">
        <v>71</v>
      </c>
      <c r="B53" s="31">
        <v>43056918036.709999</v>
      </c>
      <c r="C53" s="13">
        <v>39956711623.330002</v>
      </c>
      <c r="D53" s="31">
        <v>3100206413.3799973</v>
      </c>
      <c r="E53" s="13">
        <v>924509759.48000002</v>
      </c>
      <c r="F53" s="13">
        <v>981907757</v>
      </c>
      <c r="G53" s="14">
        <v>3.16</v>
      </c>
      <c r="H53" s="14">
        <v>0.94</v>
      </c>
      <c r="I53" s="31">
        <v>77042479.956666663</v>
      </c>
      <c r="J53" s="32"/>
      <c r="K53" s="33"/>
      <c r="L53" s="33"/>
      <c r="M53" s="33"/>
      <c r="N53" s="33"/>
      <c r="O53" s="33"/>
      <c r="P53" s="31">
        <v>131904933.79000001</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32</v>
      </c>
      <c r="H56" s="25"/>
    </row>
    <row r="57" spans="1:17" ht="27" customHeight="1" thickBot="1" x14ac:dyDescent="0.3">
      <c r="D57" s="228" t="s">
        <v>73</v>
      </c>
      <c r="E57" s="229"/>
      <c r="F57" s="229"/>
      <c r="G57" s="27"/>
      <c r="H57" s="28">
        <v>30</v>
      </c>
    </row>
  </sheetData>
  <mergeCells count="2">
    <mergeCell ref="D56:F56"/>
    <mergeCell ref="D57:F57"/>
  </mergeCells>
  <conditionalFormatting sqref="G54">
    <cfRule type="cellIs" dxfId="237" priority="13" stopIfTrue="1" operator="greaterThan">
      <formula>2.5</formula>
    </cfRule>
    <cfRule type="cellIs" dxfId="236" priority="14" stopIfTrue="1" operator="between">
      <formula>2.01</formula>
      <formula>2.5</formula>
    </cfRule>
  </conditionalFormatting>
  <conditionalFormatting sqref="H3:H53">
    <cfRule type="cellIs" dxfId="235" priority="12" stopIfTrue="1" operator="lessThan">
      <formula>1</formula>
    </cfRule>
  </conditionalFormatting>
  <conditionalFormatting sqref="G3:G53">
    <cfRule type="cellIs" dxfId="234" priority="10" stopIfTrue="1" operator="greaterThan">
      <formula>2.5</formula>
    </cfRule>
    <cfRule type="cellIs" dxfId="233" priority="11" stopIfTrue="1" operator="between">
      <formula>2.01</formula>
      <formula>2.5</formula>
    </cfRule>
  </conditionalFormatting>
  <conditionalFormatting sqref="K3:K52">
    <cfRule type="cellIs" dxfId="232" priority="8" stopIfTrue="1" operator="greaterThan">
      <formula>$F3*2.5</formula>
    </cfRule>
    <cfRule type="cellIs" dxfId="231" priority="9" stopIfTrue="1" operator="between">
      <formula>$F3*2</formula>
      <formula>$F3*2.5</formula>
    </cfRule>
  </conditionalFormatting>
  <conditionalFormatting sqref="G54">
    <cfRule type="cellIs" dxfId="230" priority="6" stopIfTrue="1" operator="greaterThan">
      <formula>2.5</formula>
    </cfRule>
    <cfRule type="cellIs" dxfId="229" priority="7" stopIfTrue="1" operator="between">
      <formula>2.01</formula>
      <formula>2.5</formula>
    </cfRule>
  </conditionalFormatting>
  <conditionalFormatting sqref="H3:H53">
    <cfRule type="cellIs" dxfId="228" priority="5" stopIfTrue="1" operator="lessThan">
      <formula>1</formula>
    </cfRule>
  </conditionalFormatting>
  <conditionalFormatting sqref="G3:G53">
    <cfRule type="cellIs" dxfId="227" priority="3" stopIfTrue="1" operator="greaterThan">
      <formula>2.5</formula>
    </cfRule>
    <cfRule type="cellIs" dxfId="226" priority="4" stopIfTrue="1" operator="between">
      <formula>2.01</formula>
      <formula>2.5</formula>
    </cfRule>
  </conditionalFormatting>
  <conditionalFormatting sqref="K3:K52">
    <cfRule type="cellIs" dxfId="225" priority="1" stopIfTrue="1" operator="greaterThan">
      <formula>$F3*2.5</formula>
    </cfRule>
    <cfRule type="cellIs" dxfId="224"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A2D6-98AC-4C3E-9533-2B689566E3A6}">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98</v>
      </c>
      <c r="B1" s="178" t="s">
        <v>99</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988740485.89999998</v>
      </c>
      <c r="D3" s="13">
        <v>151235451.55000007</v>
      </c>
      <c r="E3" s="13">
        <v>13130163.83</v>
      </c>
      <c r="F3" s="13">
        <v>24778539</v>
      </c>
      <c r="G3" s="14">
        <v>6.1</v>
      </c>
      <c r="H3" s="14">
        <v>0.53</v>
      </c>
      <c r="I3" s="13">
        <v>1094180.3191666666</v>
      </c>
      <c r="J3" s="15">
        <v>0</v>
      </c>
      <c r="K3" s="13">
        <v>151235451.55000007</v>
      </c>
      <c r="L3" s="13" t="s">
        <v>20</v>
      </c>
      <c r="M3" s="13" t="s">
        <v>20</v>
      </c>
      <c r="N3" s="179">
        <v>43647</v>
      </c>
      <c r="O3" s="16">
        <v>45474</v>
      </c>
      <c r="P3" s="13">
        <v>1602918.48</v>
      </c>
      <c r="Q3" s="223" t="e">
        <v>#VALUE!</v>
      </c>
    </row>
    <row r="4" spans="1:17" x14ac:dyDescent="0.2">
      <c r="A4" s="4" t="s">
        <v>22</v>
      </c>
      <c r="B4" s="13">
        <v>708696383.32000005</v>
      </c>
      <c r="C4" s="13">
        <v>636760927.14999998</v>
      </c>
      <c r="D4" s="13">
        <v>71935456.170000076</v>
      </c>
      <c r="E4" s="13">
        <v>11807143.960000001</v>
      </c>
      <c r="F4" s="13">
        <v>13833071</v>
      </c>
      <c r="G4" s="14">
        <v>5.2</v>
      </c>
      <c r="H4" s="14">
        <v>0.85</v>
      </c>
      <c r="I4" s="13">
        <v>983928.66333333345</v>
      </c>
      <c r="J4" s="15">
        <v>0</v>
      </c>
      <c r="K4" s="13">
        <v>71935456.170000076</v>
      </c>
      <c r="L4" s="13" t="s">
        <v>20</v>
      </c>
      <c r="M4" s="13" t="s">
        <v>20</v>
      </c>
      <c r="N4" s="179">
        <v>43647</v>
      </c>
      <c r="O4" s="16">
        <v>45474</v>
      </c>
      <c r="P4" s="13">
        <v>649100.4</v>
      </c>
      <c r="Q4" s="222" t="e">
        <v>#VALUE!</v>
      </c>
    </row>
    <row r="5" spans="1:17" x14ac:dyDescent="0.2">
      <c r="A5" s="4" t="s">
        <v>21</v>
      </c>
      <c r="B5" s="13">
        <v>1788595890.3599999</v>
      </c>
      <c r="C5" s="13">
        <v>1551282300.76</v>
      </c>
      <c r="D5" s="13">
        <v>237313589.5999999</v>
      </c>
      <c r="E5" s="13">
        <v>40561967.880000003</v>
      </c>
      <c r="F5" s="13">
        <v>46272979</v>
      </c>
      <c r="G5" s="14">
        <v>5.13</v>
      </c>
      <c r="H5" s="14">
        <v>0.88</v>
      </c>
      <c r="I5" s="13">
        <v>3380163.99</v>
      </c>
      <c r="J5" s="15">
        <v>4</v>
      </c>
      <c r="K5" s="13">
        <v>223792933.6399999</v>
      </c>
      <c r="L5" s="13">
        <v>36191907.899999976</v>
      </c>
      <c r="M5" s="13">
        <v>30407785.524999976</v>
      </c>
      <c r="N5" s="179">
        <v>43831</v>
      </c>
      <c r="O5" s="16">
        <v>45658</v>
      </c>
      <c r="P5" s="13">
        <v>4962474.8899999997</v>
      </c>
      <c r="Q5" s="222" t="e">
        <v>#VALUE!</v>
      </c>
    </row>
    <row r="6" spans="1:17" x14ac:dyDescent="0.2">
      <c r="A6" s="4" t="s">
        <v>24</v>
      </c>
      <c r="B6" s="13">
        <v>1469242870.97</v>
      </c>
      <c r="C6" s="13">
        <v>1301932838.1099999</v>
      </c>
      <c r="D6" s="13">
        <v>167310032.86000013</v>
      </c>
      <c r="E6" s="13">
        <v>13625650.74</v>
      </c>
      <c r="F6" s="13">
        <v>33073641</v>
      </c>
      <c r="G6" s="14">
        <v>5.0599999999999996</v>
      </c>
      <c r="H6" s="14">
        <v>0.41</v>
      </c>
      <c r="I6" s="13">
        <v>1135470.895</v>
      </c>
      <c r="J6" s="15">
        <v>0</v>
      </c>
      <c r="K6" s="13">
        <v>167310032.86000013</v>
      </c>
      <c r="L6" s="13" t="s">
        <v>20</v>
      </c>
      <c r="M6" s="13" t="s">
        <v>20</v>
      </c>
      <c r="N6" s="179">
        <v>43647</v>
      </c>
      <c r="O6" s="16">
        <v>45474</v>
      </c>
      <c r="P6" s="13">
        <v>2537133.69</v>
      </c>
      <c r="Q6" s="222" t="e">
        <v>#VALUE!</v>
      </c>
    </row>
    <row r="7" spans="1:17" x14ac:dyDescent="0.2">
      <c r="A7" s="4" t="s">
        <v>23</v>
      </c>
      <c r="B7" s="13">
        <v>1336273473.74</v>
      </c>
      <c r="C7" s="13">
        <v>1201608717.25</v>
      </c>
      <c r="D7" s="13">
        <v>134664756.49000001</v>
      </c>
      <c r="E7" s="13">
        <v>27967829.149999999</v>
      </c>
      <c r="F7" s="13">
        <v>29074134</v>
      </c>
      <c r="G7" s="14">
        <v>4.63</v>
      </c>
      <c r="H7" s="14">
        <v>0.96</v>
      </c>
      <c r="I7" s="13">
        <v>2330652.4291666667</v>
      </c>
      <c r="J7" s="15">
        <v>4</v>
      </c>
      <c r="K7" s="13">
        <v>125342146.77333334</v>
      </c>
      <c r="L7" s="13">
        <v>19129122.122500002</v>
      </c>
      <c r="M7" s="13">
        <v>15494855.372500002</v>
      </c>
      <c r="N7" s="179">
        <v>43831</v>
      </c>
      <c r="O7" s="16">
        <v>45658</v>
      </c>
      <c r="P7" s="13">
        <v>7188774.9199999999</v>
      </c>
      <c r="Q7" s="222" t="e">
        <v>#VALUE!</v>
      </c>
    </row>
    <row r="8" spans="1:17" x14ac:dyDescent="0.2">
      <c r="A8" s="4" t="s">
        <v>26</v>
      </c>
      <c r="B8" s="13">
        <v>120899760.39</v>
      </c>
      <c r="C8" s="13">
        <v>104600804.65000001</v>
      </c>
      <c r="D8" s="13">
        <v>16298955.739999995</v>
      </c>
      <c r="E8" s="13">
        <v>1077058.03</v>
      </c>
      <c r="F8" s="13">
        <v>3521015</v>
      </c>
      <c r="G8" s="14">
        <v>4.63</v>
      </c>
      <c r="H8" s="14">
        <v>0.31</v>
      </c>
      <c r="I8" s="13">
        <v>89754.835833333331</v>
      </c>
      <c r="J8" s="15">
        <v>4</v>
      </c>
      <c r="K8" s="13">
        <v>15939936.396666661</v>
      </c>
      <c r="L8" s="13">
        <v>2314231.4349999987</v>
      </c>
      <c r="M8" s="13">
        <v>1874104.5599999987</v>
      </c>
      <c r="N8" s="179">
        <v>43831</v>
      </c>
      <c r="O8" s="16">
        <v>45658</v>
      </c>
      <c r="P8" s="13">
        <v>80979.990000000005</v>
      </c>
      <c r="Q8" s="222" t="e">
        <v>#VALUE!</v>
      </c>
    </row>
    <row r="9" spans="1:17" x14ac:dyDescent="0.2">
      <c r="A9" s="4" t="s">
        <v>31</v>
      </c>
      <c r="B9" s="13">
        <v>493558716</v>
      </c>
      <c r="C9" s="13">
        <v>449384619.61000001</v>
      </c>
      <c r="D9" s="13">
        <v>44174096.389999986</v>
      </c>
      <c r="E9" s="13">
        <v>8085135.5199999996</v>
      </c>
      <c r="F9" s="13">
        <v>11038481</v>
      </c>
      <c r="G9" s="14">
        <v>4</v>
      </c>
      <c r="H9" s="14">
        <v>0.73</v>
      </c>
      <c r="I9" s="13">
        <v>673761.29333333333</v>
      </c>
      <c r="J9" s="15">
        <v>4</v>
      </c>
      <c r="K9" s="13">
        <v>41479051.216666654</v>
      </c>
      <c r="L9" s="13">
        <v>5524283.5974999964</v>
      </c>
      <c r="M9" s="13">
        <v>4144473.4724999964</v>
      </c>
      <c r="N9" s="179">
        <v>43831</v>
      </c>
      <c r="O9" s="16">
        <v>45658</v>
      </c>
      <c r="P9" s="13">
        <v>1662601.15</v>
      </c>
      <c r="Q9" s="222" t="e">
        <v>#VALUE!</v>
      </c>
    </row>
    <row r="10" spans="1:17" x14ac:dyDescent="0.2">
      <c r="A10" s="4" t="s">
        <v>27</v>
      </c>
      <c r="B10" s="13">
        <v>853256279</v>
      </c>
      <c r="C10" s="13">
        <v>778452211.62</v>
      </c>
      <c r="D10" s="13">
        <v>74804067.379999995</v>
      </c>
      <c r="E10" s="13">
        <v>17445934.850000001</v>
      </c>
      <c r="F10" s="13">
        <v>18836467</v>
      </c>
      <c r="G10" s="14">
        <v>3.97</v>
      </c>
      <c r="H10" s="14">
        <v>0.93</v>
      </c>
      <c r="I10" s="13">
        <v>1453827.9041666668</v>
      </c>
      <c r="J10" s="15">
        <v>1</v>
      </c>
      <c r="K10" s="13">
        <v>73350239.475833327</v>
      </c>
      <c r="L10" s="13">
        <v>37131133.379999995</v>
      </c>
      <c r="M10" s="13">
        <v>27712899.879999995</v>
      </c>
      <c r="N10" s="179">
        <v>43739</v>
      </c>
      <c r="O10" s="16">
        <v>45566</v>
      </c>
      <c r="P10" s="13">
        <v>421372.28</v>
      </c>
      <c r="Q10" s="222" t="e">
        <v>#VALUE!</v>
      </c>
    </row>
    <row r="11" spans="1:17" x14ac:dyDescent="0.2">
      <c r="A11" s="4" t="s">
        <v>37</v>
      </c>
      <c r="B11" s="13">
        <v>187480557</v>
      </c>
      <c r="C11" s="13">
        <v>173796348.38999999</v>
      </c>
      <c r="D11" s="13">
        <v>13684208.610000014</v>
      </c>
      <c r="E11" s="13">
        <v>2656732.92</v>
      </c>
      <c r="F11" s="13">
        <v>3515583</v>
      </c>
      <c r="G11" s="14">
        <v>3.89</v>
      </c>
      <c r="H11" s="14">
        <v>0.76</v>
      </c>
      <c r="I11" s="13">
        <v>221394.41</v>
      </c>
      <c r="J11" s="15">
        <v>0</v>
      </c>
      <c r="K11" s="13">
        <v>13684208.610000014</v>
      </c>
      <c r="L11" s="13" t="s">
        <v>20</v>
      </c>
      <c r="M11" s="13" t="s">
        <v>20</v>
      </c>
      <c r="N11" s="179">
        <v>43647</v>
      </c>
      <c r="O11" s="16">
        <v>45474</v>
      </c>
      <c r="P11" s="13">
        <v>211579.43</v>
      </c>
      <c r="Q11" s="222" t="e">
        <v>#VALUE!</v>
      </c>
    </row>
    <row r="12" spans="1:17" x14ac:dyDescent="0.2">
      <c r="A12" s="4" t="s">
        <v>28</v>
      </c>
      <c r="B12" s="13">
        <v>1945106991</v>
      </c>
      <c r="C12" s="13">
        <v>1860286124.8800001</v>
      </c>
      <c r="D12" s="13">
        <v>84820866.119999886</v>
      </c>
      <c r="E12" s="13">
        <v>20360770.210000001</v>
      </c>
      <c r="F12" s="13">
        <v>22131554</v>
      </c>
      <c r="G12" s="14">
        <v>3.83</v>
      </c>
      <c r="H12" s="14">
        <v>0.92</v>
      </c>
      <c r="I12" s="13">
        <v>1696730.8508333333</v>
      </c>
      <c r="J12" s="15">
        <v>0</v>
      </c>
      <c r="K12" s="13">
        <v>84820866.119999886</v>
      </c>
      <c r="L12" s="13" t="s">
        <v>20</v>
      </c>
      <c r="M12" s="13" t="s">
        <v>20</v>
      </c>
      <c r="N12" s="179">
        <v>43647</v>
      </c>
      <c r="O12" s="16">
        <v>45474</v>
      </c>
      <c r="P12" s="13">
        <v>1062974.47</v>
      </c>
      <c r="Q12" s="222" t="e">
        <v>#VALUE!</v>
      </c>
    </row>
    <row r="13" spans="1:17" x14ac:dyDescent="0.2">
      <c r="A13" s="4" t="s">
        <v>32</v>
      </c>
      <c r="B13" s="13">
        <v>1168142277.4400001</v>
      </c>
      <c r="C13" s="13">
        <v>1067818321.45</v>
      </c>
      <c r="D13" s="13">
        <v>100323955.99000001</v>
      </c>
      <c r="E13" s="13">
        <v>16494272.119999999</v>
      </c>
      <c r="F13" s="13">
        <v>26355588</v>
      </c>
      <c r="G13" s="14">
        <v>3.81</v>
      </c>
      <c r="H13" s="14">
        <v>0.63</v>
      </c>
      <c r="I13" s="13">
        <v>1374522.6766666665</v>
      </c>
      <c r="J13" s="15">
        <v>0</v>
      </c>
      <c r="K13" s="13">
        <v>100323955.99000001</v>
      </c>
      <c r="L13" s="13" t="s">
        <v>20</v>
      </c>
      <c r="M13" s="13" t="s">
        <v>20</v>
      </c>
      <c r="N13" s="179">
        <v>43647</v>
      </c>
      <c r="O13" s="16">
        <v>45474</v>
      </c>
      <c r="P13" s="13">
        <v>748704</v>
      </c>
      <c r="Q13" s="222" t="e">
        <v>#VALUE!</v>
      </c>
    </row>
    <row r="14" spans="1:17" x14ac:dyDescent="0.2">
      <c r="A14" s="4" t="s">
        <v>40</v>
      </c>
      <c r="B14" s="13">
        <v>203184695.25999999</v>
      </c>
      <c r="C14" s="13">
        <v>181741029.66999999</v>
      </c>
      <c r="D14" s="13">
        <v>21443665.590000004</v>
      </c>
      <c r="E14" s="13">
        <v>6400170.6100000003</v>
      </c>
      <c r="F14" s="13">
        <v>5655134</v>
      </c>
      <c r="G14" s="14">
        <v>3.79</v>
      </c>
      <c r="H14" s="14">
        <v>1.1299999999999999</v>
      </c>
      <c r="I14" s="13">
        <v>533347.5508333334</v>
      </c>
      <c r="J14" s="15">
        <v>0</v>
      </c>
      <c r="K14" s="13">
        <v>21443665.590000004</v>
      </c>
      <c r="L14" s="13" t="s">
        <v>20</v>
      </c>
      <c r="M14" s="13" t="s">
        <v>20</v>
      </c>
      <c r="N14" s="179">
        <v>43647</v>
      </c>
      <c r="O14" s="16">
        <v>45474</v>
      </c>
      <c r="P14" s="13">
        <v>80278.03</v>
      </c>
      <c r="Q14" s="222" t="e">
        <v>#VALUE!</v>
      </c>
    </row>
    <row r="15" spans="1:17" x14ac:dyDescent="0.2">
      <c r="A15" s="4" t="s">
        <v>25</v>
      </c>
      <c r="B15" s="13">
        <v>265120500</v>
      </c>
      <c r="C15" s="13">
        <v>242576304.59999999</v>
      </c>
      <c r="D15" s="13">
        <v>22544195.400000006</v>
      </c>
      <c r="E15" s="13">
        <v>10950235.01</v>
      </c>
      <c r="F15" s="13">
        <v>6172506</v>
      </c>
      <c r="G15" s="14">
        <v>3.65</v>
      </c>
      <c r="H15" s="14">
        <v>1.77</v>
      </c>
      <c r="I15" s="13">
        <v>912519.58416666661</v>
      </c>
      <c r="J15" s="15">
        <v>7</v>
      </c>
      <c r="K15" s="13">
        <v>16156558.310833339</v>
      </c>
      <c r="L15" s="13">
        <v>1457026.2000000009</v>
      </c>
      <c r="M15" s="13">
        <v>1016132.9142857151</v>
      </c>
      <c r="N15" s="179">
        <v>43922</v>
      </c>
      <c r="O15" s="16">
        <v>45748</v>
      </c>
      <c r="P15" s="13">
        <v>1742550.52</v>
      </c>
      <c r="Q15" s="222" t="e">
        <v>#VALUE!</v>
      </c>
    </row>
    <row r="16" spans="1:17" x14ac:dyDescent="0.2">
      <c r="A16" s="4" t="s">
        <v>34</v>
      </c>
      <c r="B16" s="13">
        <v>1438428739.9100001</v>
      </c>
      <c r="C16" s="13">
        <v>1328946765.05</v>
      </c>
      <c r="D16" s="13">
        <v>109481974.86000013</v>
      </c>
      <c r="E16" s="13">
        <v>29056587.940000001</v>
      </c>
      <c r="F16" s="13">
        <v>30065955</v>
      </c>
      <c r="G16" s="14">
        <v>3.64</v>
      </c>
      <c r="H16" s="14">
        <v>0.97</v>
      </c>
      <c r="I16" s="13">
        <v>2421382.3283333336</v>
      </c>
      <c r="J16" s="15">
        <v>0</v>
      </c>
      <c r="K16" s="13">
        <v>109481974.86000013</v>
      </c>
      <c r="L16" s="13" t="s">
        <v>20</v>
      </c>
      <c r="M16" s="13" t="s">
        <v>20</v>
      </c>
      <c r="N16" s="179">
        <v>43647</v>
      </c>
      <c r="O16" s="16">
        <v>45474</v>
      </c>
      <c r="P16" s="13">
        <v>1076943.96</v>
      </c>
      <c r="Q16" s="222" t="e">
        <v>#VALUE!</v>
      </c>
    </row>
    <row r="17" spans="1:17" x14ac:dyDescent="0.2">
      <c r="A17" s="4" t="s">
        <v>39</v>
      </c>
      <c r="B17" s="13">
        <v>500565228.91000003</v>
      </c>
      <c r="C17" s="13">
        <v>462300183.50999999</v>
      </c>
      <c r="D17" s="13">
        <v>38265045.400000036</v>
      </c>
      <c r="E17" s="13">
        <v>5521083.04</v>
      </c>
      <c r="F17" s="13">
        <v>10539100</v>
      </c>
      <c r="G17" s="14">
        <v>3.63</v>
      </c>
      <c r="H17" s="14">
        <v>0.52</v>
      </c>
      <c r="I17" s="13">
        <v>460090.25333333336</v>
      </c>
      <c r="J17" s="15">
        <v>0</v>
      </c>
      <c r="K17" s="13">
        <v>38265045.400000036</v>
      </c>
      <c r="L17" s="13" t="s">
        <v>20</v>
      </c>
      <c r="M17" s="13" t="s">
        <v>20</v>
      </c>
      <c r="N17" s="179">
        <v>43647</v>
      </c>
      <c r="O17" s="16">
        <v>45474</v>
      </c>
      <c r="P17" s="13">
        <v>316445.81</v>
      </c>
      <c r="Q17" s="222" t="e">
        <v>#VALUE!</v>
      </c>
    </row>
    <row r="18" spans="1:17" x14ac:dyDescent="0.2">
      <c r="A18" s="4" t="s">
        <v>35</v>
      </c>
      <c r="B18" s="13">
        <v>794219275</v>
      </c>
      <c r="C18" s="13">
        <v>724822873.46000004</v>
      </c>
      <c r="D18" s="13">
        <v>69396401.539999962</v>
      </c>
      <c r="E18" s="13">
        <v>13213974.619999999</v>
      </c>
      <c r="F18" s="13">
        <v>19107637</v>
      </c>
      <c r="G18" s="14">
        <v>3.63</v>
      </c>
      <c r="H18" s="14">
        <v>0.69</v>
      </c>
      <c r="I18" s="13">
        <v>1101164.5516666665</v>
      </c>
      <c r="J18" s="15">
        <v>0</v>
      </c>
      <c r="K18" s="13">
        <v>69396401.539999962</v>
      </c>
      <c r="L18" s="13" t="s">
        <v>20</v>
      </c>
      <c r="M18" s="13" t="s">
        <v>20</v>
      </c>
      <c r="N18" s="179">
        <v>43647</v>
      </c>
      <c r="O18" s="16">
        <v>45474</v>
      </c>
      <c r="P18" s="13">
        <v>1032620.74</v>
      </c>
      <c r="Q18" s="222" t="e">
        <v>#VALUE!</v>
      </c>
    </row>
    <row r="19" spans="1:17" x14ac:dyDescent="0.2">
      <c r="A19" s="4" t="s">
        <v>29</v>
      </c>
      <c r="B19" s="13">
        <v>800464324.92999995</v>
      </c>
      <c r="C19" s="13">
        <v>740433981.32000005</v>
      </c>
      <c r="D19" s="13">
        <v>60030343.609999895</v>
      </c>
      <c r="E19" s="13">
        <v>23556610.129999999</v>
      </c>
      <c r="F19" s="13">
        <v>17480755</v>
      </c>
      <c r="G19" s="14">
        <v>3.43</v>
      </c>
      <c r="H19" s="14">
        <v>1.35</v>
      </c>
      <c r="I19" s="13">
        <v>1963050.8441666665</v>
      </c>
      <c r="J19" s="15">
        <v>0</v>
      </c>
      <c r="K19" s="13">
        <v>60030343.609999895</v>
      </c>
      <c r="L19" s="13" t="s">
        <v>20</v>
      </c>
      <c r="M19" s="13" t="s">
        <v>20</v>
      </c>
      <c r="N19" s="179">
        <v>43647</v>
      </c>
      <c r="O19" s="16">
        <v>45474</v>
      </c>
      <c r="P19" s="13">
        <v>1151722.45</v>
      </c>
      <c r="Q19" s="222" t="e">
        <v>#VALUE!</v>
      </c>
    </row>
    <row r="20" spans="1:17" x14ac:dyDescent="0.2">
      <c r="A20" s="4" t="s">
        <v>30</v>
      </c>
      <c r="B20" s="13">
        <v>1022430792.45</v>
      </c>
      <c r="C20" s="13">
        <v>955468319.20000005</v>
      </c>
      <c r="D20" s="13">
        <v>66962473.25</v>
      </c>
      <c r="E20" s="13">
        <v>25142184.34</v>
      </c>
      <c r="F20" s="13">
        <v>19809810</v>
      </c>
      <c r="G20" s="14">
        <v>3.38</v>
      </c>
      <c r="H20" s="14">
        <v>1.27</v>
      </c>
      <c r="I20" s="13">
        <v>2095182.0283333333</v>
      </c>
      <c r="J20" s="15">
        <v>7</v>
      </c>
      <c r="K20" s="13">
        <v>52296199.051666662</v>
      </c>
      <c r="L20" s="13">
        <v>3906121.8928571427</v>
      </c>
      <c r="M20" s="13">
        <v>2491135.4642857141</v>
      </c>
      <c r="N20" s="179">
        <v>43922</v>
      </c>
      <c r="O20" s="16">
        <v>45748</v>
      </c>
      <c r="P20" s="13">
        <v>2621648.16</v>
      </c>
      <c r="Q20" s="222" t="e">
        <v>#VALUE!</v>
      </c>
    </row>
    <row r="21" spans="1:17" x14ac:dyDescent="0.2">
      <c r="A21" s="4" t="s">
        <v>44</v>
      </c>
      <c r="B21" s="13">
        <v>300551063.33999997</v>
      </c>
      <c r="C21" s="13">
        <v>278105426.95999998</v>
      </c>
      <c r="D21" s="13">
        <v>22445636.379999995</v>
      </c>
      <c r="E21" s="13">
        <v>7089002.1600000001</v>
      </c>
      <c r="F21" s="13">
        <v>6730317</v>
      </c>
      <c r="G21" s="14">
        <v>3.34</v>
      </c>
      <c r="H21" s="14">
        <v>1.05</v>
      </c>
      <c r="I21" s="13">
        <v>590750.18000000005</v>
      </c>
      <c r="J21" s="15">
        <v>0</v>
      </c>
      <c r="K21" s="13">
        <v>22445636.379999995</v>
      </c>
      <c r="L21" s="13" t="s">
        <v>20</v>
      </c>
      <c r="M21" s="13" t="s">
        <v>20</v>
      </c>
      <c r="N21" s="179">
        <v>43647</v>
      </c>
      <c r="O21" s="16">
        <v>45474</v>
      </c>
      <c r="P21" s="13">
        <v>141583.5</v>
      </c>
      <c r="Q21" s="222" t="e">
        <v>#VALUE!</v>
      </c>
    </row>
    <row r="22" spans="1:17" x14ac:dyDescent="0.2">
      <c r="A22" s="4" t="s">
        <v>47</v>
      </c>
      <c r="B22" s="13">
        <v>104394118</v>
      </c>
      <c r="C22" s="13">
        <v>95624068.980000004</v>
      </c>
      <c r="D22" s="13">
        <v>8770049.0199999958</v>
      </c>
      <c r="E22" s="13">
        <v>1438228.81</v>
      </c>
      <c r="F22" s="13">
        <v>2677355</v>
      </c>
      <c r="G22" s="14">
        <v>3.28</v>
      </c>
      <c r="H22" s="14">
        <v>0.54</v>
      </c>
      <c r="I22" s="13">
        <v>119852.40083333333</v>
      </c>
      <c r="J22" s="15">
        <v>0</v>
      </c>
      <c r="K22" s="13">
        <v>8770049.0199999958</v>
      </c>
      <c r="L22" s="13" t="s">
        <v>20</v>
      </c>
      <c r="M22" s="13" t="s">
        <v>20</v>
      </c>
      <c r="N22" s="179">
        <v>43647</v>
      </c>
      <c r="O22" s="16">
        <v>45474</v>
      </c>
      <c r="P22" s="13">
        <v>18283.12</v>
      </c>
      <c r="Q22" s="222" t="e">
        <v>#VALUE!</v>
      </c>
    </row>
    <row r="23" spans="1:17" x14ac:dyDescent="0.2">
      <c r="A23" s="4" t="s">
        <v>33</v>
      </c>
      <c r="B23" s="13">
        <v>1010324720</v>
      </c>
      <c r="C23" s="13">
        <v>937243258.94000006</v>
      </c>
      <c r="D23" s="13">
        <v>73081461.059999943</v>
      </c>
      <c r="E23" s="13">
        <v>28593540.48</v>
      </c>
      <c r="F23" s="13">
        <v>23059848</v>
      </c>
      <c r="G23" s="14">
        <v>3.17</v>
      </c>
      <c r="H23" s="14">
        <v>1.24</v>
      </c>
      <c r="I23" s="13">
        <v>2382795.04</v>
      </c>
      <c r="J23" s="15">
        <v>7</v>
      </c>
      <c r="K23" s="13">
        <v>56401895.779999942</v>
      </c>
      <c r="L23" s="13">
        <v>3851680.7228571349</v>
      </c>
      <c r="M23" s="13" t="s">
        <v>42</v>
      </c>
      <c r="N23" s="179">
        <v>43922</v>
      </c>
      <c r="O23" s="16">
        <v>45748</v>
      </c>
      <c r="P23" s="13">
        <v>1706312.97</v>
      </c>
      <c r="Q23" s="222" t="e">
        <v>#VALUE!</v>
      </c>
    </row>
    <row r="24" spans="1:17" x14ac:dyDescent="0.2">
      <c r="A24" s="4" t="s">
        <v>43</v>
      </c>
      <c r="B24" s="13">
        <v>254239457</v>
      </c>
      <c r="C24" s="13">
        <v>236612203.69999999</v>
      </c>
      <c r="D24" s="13">
        <v>17627253.300000012</v>
      </c>
      <c r="E24" s="13">
        <v>4886404.58</v>
      </c>
      <c r="F24" s="13">
        <v>5680880</v>
      </c>
      <c r="G24" s="14">
        <v>3.1</v>
      </c>
      <c r="H24" s="14">
        <v>0.86</v>
      </c>
      <c r="I24" s="13">
        <v>407200.38166666665</v>
      </c>
      <c r="J24" s="15">
        <v>4</v>
      </c>
      <c r="K24" s="13">
        <v>15998451.773333345</v>
      </c>
      <c r="L24" s="13">
        <v>1566373.325000003</v>
      </c>
      <c r="M24" s="13">
        <v>856263.32500000298</v>
      </c>
      <c r="N24" s="179">
        <v>43831</v>
      </c>
      <c r="O24" s="16">
        <v>45658</v>
      </c>
      <c r="P24" s="13">
        <v>885721.33</v>
      </c>
      <c r="Q24" s="222" t="e">
        <v>#VALUE!</v>
      </c>
    </row>
    <row r="25" spans="1:17" x14ac:dyDescent="0.2">
      <c r="A25" s="4" t="s">
        <v>45</v>
      </c>
      <c r="B25" s="13">
        <v>2001064841.29</v>
      </c>
      <c r="C25" s="13">
        <v>1881279727.5599999</v>
      </c>
      <c r="D25" s="13">
        <v>119785113.73000002</v>
      </c>
      <c r="E25" s="13">
        <v>38346663.25</v>
      </c>
      <c r="F25" s="13">
        <v>40779947</v>
      </c>
      <c r="G25" s="14">
        <v>2.94</v>
      </c>
      <c r="H25" s="14">
        <v>0.94</v>
      </c>
      <c r="I25" s="13">
        <v>3195555.2708333335</v>
      </c>
      <c r="J25" s="15">
        <v>4</v>
      </c>
      <c r="K25" s="13">
        <v>107002892.64666669</v>
      </c>
      <c r="L25" s="13">
        <v>9556304.9325000048</v>
      </c>
      <c r="M25" s="13">
        <v>4458811.5575000048</v>
      </c>
      <c r="N25" s="179">
        <v>43831</v>
      </c>
      <c r="O25" s="16">
        <v>45658</v>
      </c>
      <c r="P25" s="13">
        <v>3041773.91</v>
      </c>
      <c r="Q25" s="222" t="e">
        <v>#VALUE!</v>
      </c>
    </row>
    <row r="26" spans="1:17" x14ac:dyDescent="0.2">
      <c r="A26" s="4" t="s">
        <v>41</v>
      </c>
      <c r="B26" s="13">
        <v>1228777673.53</v>
      </c>
      <c r="C26" s="13">
        <v>1092210167.1199999</v>
      </c>
      <c r="D26" s="13">
        <v>136567506.41000009</v>
      </c>
      <c r="E26" s="13">
        <v>43525065.469999999</v>
      </c>
      <c r="F26" s="13">
        <v>47456120</v>
      </c>
      <c r="G26" s="14">
        <v>2.88</v>
      </c>
      <c r="H26" s="14">
        <v>0.92</v>
      </c>
      <c r="I26" s="13">
        <v>3627088.7891666666</v>
      </c>
      <c r="J26" s="15">
        <v>4</v>
      </c>
      <c r="K26" s="13">
        <v>122059151.25333342</v>
      </c>
      <c r="L26" s="13">
        <v>10413816.602500021</v>
      </c>
      <c r="M26" s="13">
        <v>4481801.6025000215</v>
      </c>
      <c r="N26" s="179">
        <v>43831</v>
      </c>
      <c r="O26" s="16">
        <v>45658</v>
      </c>
      <c r="P26" s="13">
        <v>2220877.42</v>
      </c>
      <c r="Q26" s="222" t="e">
        <v>#VALUE!</v>
      </c>
    </row>
    <row r="27" spans="1:17" x14ac:dyDescent="0.2">
      <c r="A27" s="4" t="s">
        <v>51</v>
      </c>
      <c r="B27" s="13">
        <v>1059732308</v>
      </c>
      <c r="C27" s="13">
        <v>991575300.25999999</v>
      </c>
      <c r="D27" s="13">
        <v>68157007.74000001</v>
      </c>
      <c r="E27" s="13">
        <v>19556756.609999999</v>
      </c>
      <c r="F27" s="13">
        <v>24168777</v>
      </c>
      <c r="G27" s="14">
        <v>2.82</v>
      </c>
      <c r="H27" s="14">
        <v>0.81</v>
      </c>
      <c r="I27" s="13">
        <v>1629729.7175</v>
      </c>
      <c r="J27" s="15">
        <v>4</v>
      </c>
      <c r="K27" s="13">
        <v>61638088.870000012</v>
      </c>
      <c r="L27" s="13">
        <v>4954863.4350000024</v>
      </c>
      <c r="M27" s="13">
        <v>1933766.3100000024</v>
      </c>
      <c r="N27" s="179">
        <v>43831</v>
      </c>
      <c r="O27" s="16">
        <v>45658</v>
      </c>
      <c r="P27" s="13">
        <v>2384647</v>
      </c>
      <c r="Q27" s="222" t="e">
        <v>#VALUE!</v>
      </c>
    </row>
    <row r="28" spans="1:17" x14ac:dyDescent="0.2">
      <c r="A28" s="4" t="s">
        <v>36</v>
      </c>
      <c r="B28" s="13">
        <v>392634217.93000001</v>
      </c>
      <c r="C28" s="13">
        <v>366852172.00999999</v>
      </c>
      <c r="D28" s="13">
        <v>25782045.920000017</v>
      </c>
      <c r="E28" s="13">
        <v>13921195.84</v>
      </c>
      <c r="F28" s="13">
        <v>9305817</v>
      </c>
      <c r="G28" s="14">
        <v>2.77</v>
      </c>
      <c r="H28" s="14">
        <v>1.5</v>
      </c>
      <c r="I28" s="13">
        <v>1160099.6533333333</v>
      </c>
      <c r="J28" s="15">
        <v>7</v>
      </c>
      <c r="K28" s="13">
        <v>17661348.346666683</v>
      </c>
      <c r="L28" s="13" t="s">
        <v>42</v>
      </c>
      <c r="M28" s="13" t="s">
        <v>42</v>
      </c>
      <c r="N28" s="179">
        <v>43556</v>
      </c>
      <c r="O28" s="16">
        <v>45748</v>
      </c>
      <c r="P28" s="13">
        <v>0</v>
      </c>
      <c r="Q28" s="222" t="e">
        <v>#VALUE!</v>
      </c>
    </row>
    <row r="29" spans="1:17" x14ac:dyDescent="0.2">
      <c r="A29" s="4" t="s">
        <v>49</v>
      </c>
      <c r="B29" s="13">
        <v>1239472339.1700001</v>
      </c>
      <c r="C29" s="13">
        <v>1172831927.6700001</v>
      </c>
      <c r="D29" s="13">
        <v>66640411.5</v>
      </c>
      <c r="E29" s="13">
        <v>19264881.699999999</v>
      </c>
      <c r="F29" s="13">
        <v>24088947</v>
      </c>
      <c r="G29" s="14">
        <v>2.77</v>
      </c>
      <c r="H29" s="14">
        <v>0.8</v>
      </c>
      <c r="I29" s="13">
        <v>1605406.8083333333</v>
      </c>
      <c r="J29" s="15">
        <v>0</v>
      </c>
      <c r="K29" s="13">
        <v>66640411.5</v>
      </c>
      <c r="L29" s="13" t="s">
        <v>20</v>
      </c>
      <c r="M29" s="13" t="s">
        <v>20</v>
      </c>
      <c r="N29" s="179">
        <v>43647</v>
      </c>
      <c r="O29" s="16">
        <v>45474</v>
      </c>
      <c r="P29" s="13">
        <v>2134521.64</v>
      </c>
      <c r="Q29" s="222" t="e">
        <v>#VALUE!</v>
      </c>
    </row>
    <row r="30" spans="1:17" x14ac:dyDescent="0.2">
      <c r="A30" s="4" t="s">
        <v>55</v>
      </c>
      <c r="B30" s="13">
        <v>675052951</v>
      </c>
      <c r="C30" s="13">
        <v>634171028.24000001</v>
      </c>
      <c r="D30" s="13">
        <v>40881922.75999999</v>
      </c>
      <c r="E30" s="13">
        <v>8400941.8800000008</v>
      </c>
      <c r="F30" s="13">
        <v>14786581</v>
      </c>
      <c r="G30" s="14">
        <v>2.76</v>
      </c>
      <c r="H30" s="14">
        <v>0.56999999999999995</v>
      </c>
      <c r="I30" s="13">
        <v>700078.49000000011</v>
      </c>
      <c r="J30" s="15">
        <v>4</v>
      </c>
      <c r="K30" s="13">
        <v>38081608.79999999</v>
      </c>
      <c r="L30" s="13">
        <v>2827190.1899999976</v>
      </c>
      <c r="M30" s="13">
        <v>978867.56499999762</v>
      </c>
      <c r="N30" s="179">
        <v>43466</v>
      </c>
      <c r="O30" s="16">
        <v>45658</v>
      </c>
      <c r="P30" s="13">
        <v>0</v>
      </c>
      <c r="Q30" s="222" t="e">
        <v>#VALUE!</v>
      </c>
    </row>
    <row r="31" spans="1:17" x14ac:dyDescent="0.2">
      <c r="A31" s="4" t="s">
        <v>50</v>
      </c>
      <c r="B31" s="13">
        <v>1642297566.0699999</v>
      </c>
      <c r="C31" s="13">
        <v>1531387279.9000001</v>
      </c>
      <c r="D31" s="13">
        <v>110910286.16999984</v>
      </c>
      <c r="E31" s="13">
        <v>34518514.130000003</v>
      </c>
      <c r="F31" s="13">
        <v>40984884</v>
      </c>
      <c r="G31" s="14">
        <v>2.71</v>
      </c>
      <c r="H31" s="14">
        <v>0.84</v>
      </c>
      <c r="I31" s="13">
        <v>2876542.8441666667</v>
      </c>
      <c r="J31" s="15">
        <v>0</v>
      </c>
      <c r="K31" s="13">
        <v>110910286.16999984</v>
      </c>
      <c r="L31" s="13" t="s">
        <v>20</v>
      </c>
      <c r="M31" s="13" t="s">
        <v>20</v>
      </c>
      <c r="N31" s="179">
        <v>43647</v>
      </c>
      <c r="O31" s="16">
        <v>45474</v>
      </c>
      <c r="P31" s="13">
        <v>4209298.0999999996</v>
      </c>
      <c r="Q31" s="222" t="e">
        <v>#VALUE!</v>
      </c>
    </row>
    <row r="32" spans="1:17" x14ac:dyDescent="0.2">
      <c r="A32" s="4" t="s">
        <v>46</v>
      </c>
      <c r="B32" s="13">
        <v>314446387.48000002</v>
      </c>
      <c r="C32" s="13">
        <v>291982328.95999998</v>
      </c>
      <c r="D32" s="13">
        <v>22464058.520000041</v>
      </c>
      <c r="E32" s="13">
        <v>9482162.6199999992</v>
      </c>
      <c r="F32" s="13">
        <v>8369791</v>
      </c>
      <c r="G32" s="14">
        <v>2.68</v>
      </c>
      <c r="H32" s="14">
        <v>1.1299999999999999</v>
      </c>
      <c r="I32" s="13">
        <v>790180.21833333327</v>
      </c>
      <c r="J32" s="15">
        <v>0</v>
      </c>
      <c r="K32" s="13">
        <v>22464058.520000041</v>
      </c>
      <c r="L32" s="13" t="s">
        <v>20</v>
      </c>
      <c r="M32" s="13" t="s">
        <v>20</v>
      </c>
      <c r="N32" s="179">
        <v>43647</v>
      </c>
      <c r="O32" s="16">
        <v>45474</v>
      </c>
      <c r="P32" s="13">
        <v>892669.57</v>
      </c>
      <c r="Q32" s="222" t="e">
        <v>#VALUE!</v>
      </c>
    </row>
    <row r="33" spans="1:17" x14ac:dyDescent="0.2">
      <c r="A33" s="4" t="s">
        <v>38</v>
      </c>
      <c r="B33" s="13">
        <v>528328839.02999997</v>
      </c>
      <c r="C33" s="13">
        <v>491980169.95999998</v>
      </c>
      <c r="D33" s="13">
        <v>36348669.069999993</v>
      </c>
      <c r="E33" s="13">
        <v>14511098.85</v>
      </c>
      <c r="F33" s="13">
        <v>13880022</v>
      </c>
      <c r="G33" s="14">
        <v>2.62</v>
      </c>
      <c r="H33" s="14">
        <v>1.05</v>
      </c>
      <c r="I33" s="13">
        <v>1209258.2375</v>
      </c>
      <c r="J33" s="15">
        <v>0</v>
      </c>
      <c r="K33" s="13">
        <v>36348669.069999993</v>
      </c>
      <c r="L33" s="13" t="s">
        <v>20</v>
      </c>
      <c r="M33" s="13" t="s">
        <v>20</v>
      </c>
      <c r="N33" s="179">
        <v>43647</v>
      </c>
      <c r="O33" s="16">
        <v>45474</v>
      </c>
      <c r="P33" s="13">
        <v>1799305.23</v>
      </c>
      <c r="Q33" s="222" t="e">
        <v>#VALUE!</v>
      </c>
    </row>
    <row r="34" spans="1:17" x14ac:dyDescent="0.2">
      <c r="A34" s="4" t="s">
        <v>56</v>
      </c>
      <c r="B34" s="13">
        <v>1154905413</v>
      </c>
      <c r="C34" s="13">
        <v>1084999530.0899999</v>
      </c>
      <c r="D34" s="13">
        <v>69905882.910000086</v>
      </c>
      <c r="E34" s="13">
        <v>21800084.890000001</v>
      </c>
      <c r="F34" s="13">
        <v>27571438</v>
      </c>
      <c r="G34" s="14">
        <v>2.54</v>
      </c>
      <c r="H34" s="14">
        <v>0.79</v>
      </c>
      <c r="I34" s="13">
        <v>1816673.7408333335</v>
      </c>
      <c r="J34" s="15">
        <v>0</v>
      </c>
      <c r="K34" s="13">
        <v>69905882.910000086</v>
      </c>
      <c r="L34" s="13" t="s">
        <v>20</v>
      </c>
      <c r="M34" s="13" t="s">
        <v>20</v>
      </c>
      <c r="N34" s="179">
        <v>43647</v>
      </c>
      <c r="O34" s="16">
        <v>45474</v>
      </c>
      <c r="P34" s="13">
        <v>1893931.54</v>
      </c>
      <c r="Q34" s="222" t="e">
        <v>#VALUE!</v>
      </c>
    </row>
    <row r="35" spans="1:17" x14ac:dyDescent="0.2">
      <c r="A35" s="4" t="s">
        <v>64</v>
      </c>
      <c r="B35" s="13">
        <v>346058940</v>
      </c>
      <c r="C35" s="13">
        <v>323113658.58999997</v>
      </c>
      <c r="D35" s="13">
        <v>22945281.410000026</v>
      </c>
      <c r="E35" s="13">
        <v>5280533.4400000004</v>
      </c>
      <c r="F35" s="13">
        <v>9353201</v>
      </c>
      <c r="G35" s="14">
        <v>2.4500000000000002</v>
      </c>
      <c r="H35" s="14">
        <v>0.56000000000000005</v>
      </c>
      <c r="I35" s="13">
        <v>440044.45333333337</v>
      </c>
      <c r="J35" s="15">
        <v>4</v>
      </c>
      <c r="K35" s="13">
        <v>21185103.596666694</v>
      </c>
      <c r="L35" s="13">
        <v>1059719.8525000066</v>
      </c>
      <c r="M35" s="13" t="s">
        <v>42</v>
      </c>
      <c r="N35" s="179">
        <v>43831</v>
      </c>
      <c r="O35" s="16">
        <v>45658</v>
      </c>
      <c r="P35" s="13">
        <v>217368.03</v>
      </c>
      <c r="Q35" s="222" t="e">
        <v>#VALUE!</v>
      </c>
    </row>
    <row r="36" spans="1:17" x14ac:dyDescent="0.2">
      <c r="A36" s="4" t="s">
        <v>52</v>
      </c>
      <c r="B36" s="13">
        <v>522049097</v>
      </c>
      <c r="C36" s="13">
        <v>491539589.11000001</v>
      </c>
      <c r="D36" s="13">
        <v>30509507.889999986</v>
      </c>
      <c r="E36" s="13">
        <v>13771523.26</v>
      </c>
      <c r="F36" s="13">
        <v>13105608</v>
      </c>
      <c r="G36" s="14">
        <v>2.33</v>
      </c>
      <c r="H36" s="14">
        <v>1.05</v>
      </c>
      <c r="I36" s="13">
        <v>1147626.9383333332</v>
      </c>
      <c r="J36" s="15">
        <v>0</v>
      </c>
      <c r="K36" s="13">
        <v>30509507.889999986</v>
      </c>
      <c r="L36" s="13" t="s">
        <v>20</v>
      </c>
      <c r="M36" s="13" t="s">
        <v>42</v>
      </c>
      <c r="N36" s="179">
        <v>43647</v>
      </c>
      <c r="O36" s="16">
        <v>45474</v>
      </c>
      <c r="P36" s="13">
        <v>678787.21</v>
      </c>
      <c r="Q36" s="222" t="e">
        <v>#VALUE!</v>
      </c>
    </row>
    <row r="37" spans="1:17" x14ac:dyDescent="0.2">
      <c r="A37" s="4" t="s">
        <v>48</v>
      </c>
      <c r="B37" s="13">
        <v>545409679.30999994</v>
      </c>
      <c r="C37" s="13">
        <v>518595560.19</v>
      </c>
      <c r="D37" s="13">
        <v>26814119.119999945</v>
      </c>
      <c r="E37" s="13">
        <v>13485535.880000001</v>
      </c>
      <c r="F37" s="13">
        <v>11656242</v>
      </c>
      <c r="G37" s="14">
        <v>2.2999999999999998</v>
      </c>
      <c r="H37" s="14">
        <v>1.1599999999999999</v>
      </c>
      <c r="I37" s="13">
        <v>1123794.6566666667</v>
      </c>
      <c r="J37" s="15">
        <v>4</v>
      </c>
      <c r="K37" s="13">
        <v>22318940.49333328</v>
      </c>
      <c r="L37" s="13" t="s">
        <v>42</v>
      </c>
      <c r="M37" s="13" t="s">
        <v>42</v>
      </c>
      <c r="N37" s="179">
        <v>43831</v>
      </c>
      <c r="O37" s="16">
        <v>45658</v>
      </c>
      <c r="P37" s="13">
        <v>683554</v>
      </c>
      <c r="Q37" s="222" t="e">
        <v>#VALUE!</v>
      </c>
    </row>
    <row r="38" spans="1:17" x14ac:dyDescent="0.2">
      <c r="A38" s="4" t="s">
        <v>53</v>
      </c>
      <c r="B38" s="13">
        <v>2879313105.54</v>
      </c>
      <c r="C38" s="13">
        <v>2718720369.5300002</v>
      </c>
      <c r="D38" s="13">
        <v>160592736.00999975</v>
      </c>
      <c r="E38" s="13">
        <v>75837286.049999997</v>
      </c>
      <c r="F38" s="13">
        <v>70613641</v>
      </c>
      <c r="G38" s="14">
        <v>2.27</v>
      </c>
      <c r="H38" s="14">
        <v>1.07</v>
      </c>
      <c r="I38" s="13">
        <v>6319773.8374999994</v>
      </c>
      <c r="J38" s="15">
        <v>0</v>
      </c>
      <c r="K38" s="13">
        <v>160592736.00999975</v>
      </c>
      <c r="L38" s="13" t="s">
        <v>20</v>
      </c>
      <c r="M38" s="13" t="s">
        <v>42</v>
      </c>
      <c r="N38" s="179">
        <v>44075</v>
      </c>
      <c r="O38" s="16">
        <v>45536</v>
      </c>
      <c r="P38" s="13">
        <v>6193105.5</v>
      </c>
      <c r="Q38" s="222" t="e">
        <v>#VALUE!</v>
      </c>
    </row>
    <row r="39" spans="1:17" x14ac:dyDescent="0.2">
      <c r="A39" s="4" t="s">
        <v>61</v>
      </c>
      <c r="B39" s="13">
        <v>1085275104.5</v>
      </c>
      <c r="C39" s="13">
        <v>1035280893.64</v>
      </c>
      <c r="D39" s="13">
        <v>49994210.860000014</v>
      </c>
      <c r="E39" s="13">
        <v>22616364.100000001</v>
      </c>
      <c r="F39" s="13">
        <v>22858857</v>
      </c>
      <c r="G39" s="14">
        <v>2.19</v>
      </c>
      <c r="H39" s="14">
        <v>0.99</v>
      </c>
      <c r="I39" s="13">
        <v>1884697.0083333335</v>
      </c>
      <c r="J39" s="15">
        <v>7</v>
      </c>
      <c r="K39" s="13">
        <v>36801331.801666677</v>
      </c>
      <c r="L39" s="13" t="s">
        <v>42</v>
      </c>
      <c r="M39" s="13" t="s">
        <v>42</v>
      </c>
      <c r="N39" s="179">
        <v>43556</v>
      </c>
      <c r="O39" s="16">
        <v>45748</v>
      </c>
      <c r="P39" s="13">
        <v>1636301.86</v>
      </c>
      <c r="Q39" s="222" t="e">
        <v>#VALUE!</v>
      </c>
    </row>
    <row r="40" spans="1:17" x14ac:dyDescent="0.2">
      <c r="A40" s="4" t="s">
        <v>58</v>
      </c>
      <c r="B40" s="13">
        <v>1205115490</v>
      </c>
      <c r="C40" s="13">
        <v>1156675061.3199999</v>
      </c>
      <c r="D40" s="13">
        <v>48440428.680000067</v>
      </c>
      <c r="E40" s="13">
        <v>25025714.539999999</v>
      </c>
      <c r="F40" s="13">
        <v>22499042</v>
      </c>
      <c r="G40" s="14">
        <v>2.15</v>
      </c>
      <c r="H40" s="14">
        <v>1.1100000000000001</v>
      </c>
      <c r="I40" s="13">
        <v>2085476.2116666667</v>
      </c>
      <c r="J40" s="15">
        <v>7</v>
      </c>
      <c r="K40" s="13">
        <v>33842095.198333398</v>
      </c>
      <c r="L40" s="13" t="s">
        <v>42</v>
      </c>
      <c r="M40" s="13" t="s">
        <v>42</v>
      </c>
      <c r="N40" s="179">
        <v>43922</v>
      </c>
      <c r="O40" s="16">
        <v>45748</v>
      </c>
      <c r="P40" s="13">
        <v>966856.26</v>
      </c>
      <c r="Q40" s="222" t="e">
        <v>#VALUE!</v>
      </c>
    </row>
    <row r="41" spans="1:17" x14ac:dyDescent="0.2">
      <c r="A41" s="4" t="s">
        <v>60</v>
      </c>
      <c r="B41" s="13">
        <v>342887810.45999998</v>
      </c>
      <c r="C41" s="13">
        <v>325253487.36000001</v>
      </c>
      <c r="D41" s="13">
        <v>17634323.099999964</v>
      </c>
      <c r="E41" s="13">
        <v>7727607.8899999997</v>
      </c>
      <c r="F41" s="13">
        <v>8236180</v>
      </c>
      <c r="G41" s="14">
        <v>2.14</v>
      </c>
      <c r="H41" s="14">
        <v>0.94</v>
      </c>
      <c r="I41" s="13">
        <v>643967.3241666666</v>
      </c>
      <c r="J41" s="15">
        <v>7</v>
      </c>
      <c r="K41" s="13">
        <v>13126551.830833297</v>
      </c>
      <c r="L41" s="13" t="s">
        <v>42</v>
      </c>
      <c r="M41" s="13" t="s">
        <v>42</v>
      </c>
      <c r="N41" s="179">
        <v>43556</v>
      </c>
      <c r="O41" s="16">
        <v>45748</v>
      </c>
      <c r="P41" s="13">
        <v>741009.06</v>
      </c>
      <c r="Q41" s="222" t="e">
        <v>#VALUE!</v>
      </c>
    </row>
    <row r="42" spans="1:17" x14ac:dyDescent="0.2">
      <c r="A42" s="4" t="s">
        <v>54</v>
      </c>
      <c r="B42" s="13">
        <v>1394382977.99</v>
      </c>
      <c r="C42" s="13">
        <v>1319946719.5799999</v>
      </c>
      <c r="D42" s="13">
        <v>74436258.410000086</v>
      </c>
      <c r="E42" s="13">
        <v>39721466.799999997</v>
      </c>
      <c r="F42" s="13">
        <v>34869850</v>
      </c>
      <c r="G42" s="14">
        <v>2.13</v>
      </c>
      <c r="H42" s="14">
        <v>1.1399999999999999</v>
      </c>
      <c r="I42" s="13">
        <v>3310122.2333333329</v>
      </c>
      <c r="J42" s="15">
        <v>7</v>
      </c>
      <c r="K42" s="13">
        <v>51265402.77666676</v>
      </c>
      <c r="L42" s="13" t="s">
        <v>42</v>
      </c>
      <c r="M42" s="13" t="s">
        <v>42</v>
      </c>
      <c r="N42" s="179">
        <v>43922</v>
      </c>
      <c r="O42" s="16">
        <v>45748</v>
      </c>
      <c r="P42" s="13">
        <v>4505709.0199999996</v>
      </c>
      <c r="Q42" s="222" t="e">
        <v>#VALUE!</v>
      </c>
    </row>
    <row r="43" spans="1:17" x14ac:dyDescent="0.2">
      <c r="A43" s="4" t="s">
        <v>63</v>
      </c>
      <c r="B43" s="13">
        <v>1309738768.5599999</v>
      </c>
      <c r="C43" s="13">
        <v>1245044821.8699999</v>
      </c>
      <c r="D43" s="13">
        <v>64693946.690000057</v>
      </c>
      <c r="E43" s="13">
        <v>26643362.629999999</v>
      </c>
      <c r="F43" s="13">
        <v>30738746</v>
      </c>
      <c r="G43" s="14">
        <v>2.1</v>
      </c>
      <c r="H43" s="14">
        <v>0.87</v>
      </c>
      <c r="I43" s="13">
        <v>2220280.2191666667</v>
      </c>
      <c r="J43" s="15">
        <v>0</v>
      </c>
      <c r="K43" s="13">
        <v>64693946.690000057</v>
      </c>
      <c r="L43" s="13" t="s">
        <v>20</v>
      </c>
      <c r="M43" s="13" t="s">
        <v>42</v>
      </c>
      <c r="N43" s="179">
        <v>43647</v>
      </c>
      <c r="O43" s="16">
        <v>45474</v>
      </c>
      <c r="P43" s="13">
        <v>2734612.16</v>
      </c>
      <c r="Q43" s="222" t="e">
        <v>#VALUE!</v>
      </c>
    </row>
    <row r="44" spans="1:17" x14ac:dyDescent="0.2">
      <c r="A44" s="4" t="s">
        <v>57</v>
      </c>
      <c r="B44" s="13">
        <v>98701064</v>
      </c>
      <c r="C44" s="13">
        <v>92876791.900000006</v>
      </c>
      <c r="D44" s="13">
        <v>5824272.099999994</v>
      </c>
      <c r="E44" s="13">
        <v>3182869.65</v>
      </c>
      <c r="F44" s="13">
        <v>2898567</v>
      </c>
      <c r="G44" s="14">
        <v>2.0099999999999998</v>
      </c>
      <c r="H44" s="14">
        <v>1.1000000000000001</v>
      </c>
      <c r="I44" s="13">
        <v>265239.13750000001</v>
      </c>
      <c r="J44" s="15">
        <v>0</v>
      </c>
      <c r="K44" s="13">
        <v>5824272.099999994</v>
      </c>
      <c r="L44" s="13" t="s">
        <v>20</v>
      </c>
      <c r="M44" s="13" t="s">
        <v>42</v>
      </c>
      <c r="N44" s="179">
        <v>43647</v>
      </c>
      <c r="O44" s="16">
        <v>45474</v>
      </c>
      <c r="P44" s="13">
        <v>241173.3</v>
      </c>
      <c r="Q44" s="222" t="e">
        <v>#VALUE!</v>
      </c>
    </row>
    <row r="45" spans="1:17" x14ac:dyDescent="0.2">
      <c r="A45" s="4" t="s">
        <v>66</v>
      </c>
      <c r="B45" s="13">
        <v>1940110596.77</v>
      </c>
      <c r="C45" s="13">
        <v>1855700680.4300001</v>
      </c>
      <c r="D45" s="13">
        <v>84409916.339999914</v>
      </c>
      <c r="E45" s="13">
        <v>41478361.960000001</v>
      </c>
      <c r="F45" s="13">
        <v>45492764</v>
      </c>
      <c r="G45" s="14">
        <v>1.86</v>
      </c>
      <c r="H45" s="14">
        <v>0.91</v>
      </c>
      <c r="I45" s="13">
        <v>3456530.1633333336</v>
      </c>
      <c r="J45" s="15">
        <v>0</v>
      </c>
      <c r="K45" s="13">
        <v>84409916.339999914</v>
      </c>
      <c r="L45" s="13" t="s">
        <v>42</v>
      </c>
      <c r="M45" s="13" t="s">
        <v>42</v>
      </c>
      <c r="N45" s="179">
        <v>43647</v>
      </c>
      <c r="O45" s="16">
        <v>45474</v>
      </c>
      <c r="P45" s="13">
        <v>1937646.44</v>
      </c>
      <c r="Q45" s="222" t="e">
        <v>#VALUE!</v>
      </c>
    </row>
    <row r="46" spans="1:17" x14ac:dyDescent="0.2">
      <c r="A46" s="4" t="s">
        <v>62</v>
      </c>
      <c r="B46" s="13">
        <v>685388676.61000001</v>
      </c>
      <c r="C46" s="13">
        <v>659647087.69000006</v>
      </c>
      <c r="D46" s="13">
        <v>25741588.919999957</v>
      </c>
      <c r="E46" s="13">
        <v>17221744.300000001</v>
      </c>
      <c r="F46" s="13">
        <v>13963452</v>
      </c>
      <c r="G46" s="14">
        <v>1.84</v>
      </c>
      <c r="H46" s="14">
        <v>1.23</v>
      </c>
      <c r="I46" s="13">
        <v>1435145.3583333334</v>
      </c>
      <c r="J46" s="15">
        <v>7</v>
      </c>
      <c r="K46" s="13">
        <v>15695571.411666624</v>
      </c>
      <c r="L46" s="13" t="s">
        <v>42</v>
      </c>
      <c r="M46" s="13" t="s">
        <v>42</v>
      </c>
      <c r="N46" s="179">
        <v>43922</v>
      </c>
      <c r="O46" s="16">
        <v>45748</v>
      </c>
      <c r="P46" s="13">
        <v>1252822.94</v>
      </c>
      <c r="Q46" s="222" t="e">
        <v>#VALUE!</v>
      </c>
    </row>
    <row r="47" spans="1:17" x14ac:dyDescent="0.2">
      <c r="A47" s="4" t="s">
        <v>67</v>
      </c>
      <c r="B47" s="13">
        <v>1082941284</v>
      </c>
      <c r="C47" s="13">
        <v>1033521967.22</v>
      </c>
      <c r="D47" s="13">
        <v>49419316.779999971</v>
      </c>
      <c r="E47" s="13">
        <v>23888876.02</v>
      </c>
      <c r="F47" s="13">
        <v>27168342</v>
      </c>
      <c r="G47" s="14">
        <v>1.82</v>
      </c>
      <c r="H47" s="14">
        <v>0.88</v>
      </c>
      <c r="I47" s="13">
        <v>1990739.6683333332</v>
      </c>
      <c r="J47" s="15">
        <v>7</v>
      </c>
      <c r="K47" s="13">
        <v>35484139.101666637</v>
      </c>
      <c r="L47" s="13" t="s">
        <v>42</v>
      </c>
      <c r="M47" s="13" t="s">
        <v>42</v>
      </c>
      <c r="N47" s="179">
        <v>43922</v>
      </c>
      <c r="O47" s="16">
        <v>45748</v>
      </c>
      <c r="P47" s="13">
        <v>0</v>
      </c>
      <c r="Q47" s="222" t="e">
        <v>#VALUE!</v>
      </c>
    </row>
    <row r="48" spans="1:17" x14ac:dyDescent="0.2">
      <c r="A48" s="4" t="s">
        <v>59</v>
      </c>
      <c r="B48" s="13">
        <v>277600986</v>
      </c>
      <c r="C48" s="13">
        <v>264698141.03</v>
      </c>
      <c r="D48" s="13">
        <v>12902844.969999999</v>
      </c>
      <c r="E48" s="13">
        <v>11101300.550000001</v>
      </c>
      <c r="F48" s="13">
        <v>7461397</v>
      </c>
      <c r="G48" s="14">
        <v>1.73</v>
      </c>
      <c r="H48" s="14">
        <v>1.49</v>
      </c>
      <c r="I48" s="13">
        <v>925108.37916666677</v>
      </c>
      <c r="J48" s="15">
        <v>0</v>
      </c>
      <c r="K48" s="13">
        <v>12902844.969999999</v>
      </c>
      <c r="L48" s="13" t="s">
        <v>42</v>
      </c>
      <c r="M48" s="13" t="s">
        <v>42</v>
      </c>
      <c r="N48" s="179">
        <v>43647</v>
      </c>
      <c r="O48" s="16">
        <v>45474</v>
      </c>
      <c r="P48" s="13">
        <v>440052</v>
      </c>
      <c r="Q48" s="222" t="e">
        <v>#VALUE!</v>
      </c>
    </row>
    <row r="49" spans="1:17" x14ac:dyDescent="0.2">
      <c r="A49" s="4" t="s">
        <v>65</v>
      </c>
      <c r="B49" s="13">
        <v>389160034</v>
      </c>
      <c r="C49" s="13">
        <v>372693081.81999999</v>
      </c>
      <c r="D49" s="13">
        <v>16466952.180000007</v>
      </c>
      <c r="E49" s="13">
        <v>10634069.199999999</v>
      </c>
      <c r="F49" s="13">
        <v>10126728</v>
      </c>
      <c r="G49" s="14">
        <v>1.63</v>
      </c>
      <c r="H49" s="14">
        <v>1.05</v>
      </c>
      <c r="I49" s="13">
        <v>886172.43333333323</v>
      </c>
      <c r="J49" s="15">
        <v>0</v>
      </c>
      <c r="K49" s="13">
        <v>16466952.180000007</v>
      </c>
      <c r="L49" s="13" t="s">
        <v>42</v>
      </c>
      <c r="M49" s="13" t="s">
        <v>42</v>
      </c>
      <c r="N49" s="179">
        <v>43647</v>
      </c>
      <c r="O49" s="16">
        <v>45474</v>
      </c>
      <c r="P49" s="13">
        <v>331725.44</v>
      </c>
      <c r="Q49" s="222" t="e">
        <v>#VALUE!</v>
      </c>
    </row>
    <row r="50" spans="1:17" x14ac:dyDescent="0.2">
      <c r="A50" s="4" t="s">
        <v>68</v>
      </c>
      <c r="B50" s="13">
        <v>497245980</v>
      </c>
      <c r="C50" s="13">
        <v>478042511.95999998</v>
      </c>
      <c r="D50" s="13">
        <v>19203468.040000021</v>
      </c>
      <c r="E50" s="13">
        <v>11093349</v>
      </c>
      <c r="F50" s="13">
        <v>11808636</v>
      </c>
      <c r="G50" s="14">
        <v>1.63</v>
      </c>
      <c r="H50" s="14">
        <v>0.94</v>
      </c>
      <c r="I50" s="13">
        <v>924445.75</v>
      </c>
      <c r="J50" s="15">
        <v>4</v>
      </c>
      <c r="K50" s="13">
        <v>15505685.040000021</v>
      </c>
      <c r="L50" s="13" t="s">
        <v>42</v>
      </c>
      <c r="M50" s="13" t="s">
        <v>42</v>
      </c>
      <c r="N50" s="179">
        <v>43831</v>
      </c>
      <c r="O50" s="16">
        <v>45658</v>
      </c>
      <c r="P50" s="13">
        <v>1223018.58</v>
      </c>
      <c r="Q50" s="222" t="e">
        <v>#VALUE!</v>
      </c>
    </row>
    <row r="51" spans="1:17" x14ac:dyDescent="0.2">
      <c r="A51" s="4" t="s">
        <v>69</v>
      </c>
      <c r="B51" s="13">
        <v>238203233</v>
      </c>
      <c r="C51" s="13">
        <v>231199036.84</v>
      </c>
      <c r="D51" s="13">
        <v>7004196.1599999964</v>
      </c>
      <c r="E51" s="13">
        <v>5600183.1100000003</v>
      </c>
      <c r="F51" s="13">
        <v>5501208</v>
      </c>
      <c r="G51" s="14">
        <v>1.27</v>
      </c>
      <c r="H51" s="14">
        <v>1.02</v>
      </c>
      <c r="I51" s="13">
        <v>466681.92583333334</v>
      </c>
      <c r="J51" s="15">
        <v>0</v>
      </c>
      <c r="K51" s="13">
        <v>7004196.1599999964</v>
      </c>
      <c r="L51" s="13" t="s">
        <v>42</v>
      </c>
      <c r="M51" s="13" t="s">
        <v>42</v>
      </c>
      <c r="N51" s="179">
        <v>43647</v>
      </c>
      <c r="O51" s="16">
        <v>45474</v>
      </c>
      <c r="P51" s="13">
        <v>1629680.14</v>
      </c>
      <c r="Q51" s="222" t="e">
        <v>#VALUE!</v>
      </c>
    </row>
    <row r="52" spans="1:17" x14ac:dyDescent="0.2">
      <c r="A52" s="4" t="s">
        <v>70</v>
      </c>
      <c r="B52" s="13">
        <v>75470621</v>
      </c>
      <c r="C52" s="13">
        <v>72956158.239999995</v>
      </c>
      <c r="D52" s="18">
        <v>2514462.7600000054</v>
      </c>
      <c r="E52" s="13">
        <v>2450323.12</v>
      </c>
      <c r="F52" s="13">
        <v>2752623</v>
      </c>
      <c r="G52" s="14">
        <v>0.91</v>
      </c>
      <c r="H52" s="14">
        <v>0.89</v>
      </c>
      <c r="I52" s="18">
        <v>204193.59333333335</v>
      </c>
      <c r="J52" s="15">
        <v>0</v>
      </c>
      <c r="K52" s="18">
        <v>2514462.7600000054</v>
      </c>
      <c r="L52" s="18" t="s">
        <v>42</v>
      </c>
      <c r="M52" s="18" t="s">
        <v>42</v>
      </c>
      <c r="N52" s="180">
        <v>43647</v>
      </c>
      <c r="O52" s="16">
        <v>45474</v>
      </c>
      <c r="P52" s="13">
        <v>708571.28</v>
      </c>
      <c r="Q52" s="222" t="e">
        <v>#VALUE!</v>
      </c>
    </row>
    <row r="53" spans="1:17" x14ac:dyDescent="0.25">
      <c r="A53" s="34" t="s">
        <v>71</v>
      </c>
      <c r="B53" s="31">
        <v>43056918036.709999</v>
      </c>
      <c r="C53" s="13">
        <v>40033313365.25</v>
      </c>
      <c r="D53" s="31">
        <v>3023604671.4599991</v>
      </c>
      <c r="E53" s="13">
        <v>909148517.66999996</v>
      </c>
      <c r="F53" s="13">
        <v>981907757</v>
      </c>
      <c r="G53" s="14">
        <v>3.08</v>
      </c>
      <c r="H53" s="14">
        <v>0.93</v>
      </c>
      <c r="I53" s="31">
        <v>75762376.472499996</v>
      </c>
      <c r="J53" s="32"/>
      <c r="K53" s="33"/>
      <c r="L53" s="33"/>
      <c r="M53" s="33"/>
      <c r="N53" s="33"/>
      <c r="O53" s="33"/>
      <c r="P53" s="31">
        <v>76601741.919999987</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32</v>
      </c>
      <c r="H56" s="25"/>
    </row>
    <row r="57" spans="1:17" ht="27" customHeight="1" thickBot="1" x14ac:dyDescent="0.3">
      <c r="D57" s="228" t="s">
        <v>73</v>
      </c>
      <c r="E57" s="229"/>
      <c r="F57" s="229"/>
      <c r="G57" s="27"/>
      <c r="H57" s="28">
        <v>31</v>
      </c>
    </row>
  </sheetData>
  <mergeCells count="2">
    <mergeCell ref="D56:F56"/>
    <mergeCell ref="D57:F57"/>
  </mergeCells>
  <conditionalFormatting sqref="G54">
    <cfRule type="cellIs" dxfId="223" priority="13" stopIfTrue="1" operator="greaterThan">
      <formula>2.5</formula>
    </cfRule>
    <cfRule type="cellIs" dxfId="222" priority="14" stopIfTrue="1" operator="between">
      <formula>2.01</formula>
      <formula>2.5</formula>
    </cfRule>
  </conditionalFormatting>
  <conditionalFormatting sqref="H3:H53">
    <cfRule type="cellIs" dxfId="221" priority="12" stopIfTrue="1" operator="lessThan">
      <formula>1</formula>
    </cfRule>
  </conditionalFormatting>
  <conditionalFormatting sqref="G3:G53">
    <cfRule type="cellIs" dxfId="220" priority="10" stopIfTrue="1" operator="greaterThan">
      <formula>2.5</formula>
    </cfRule>
    <cfRule type="cellIs" dxfId="219" priority="11" stopIfTrue="1" operator="between">
      <formula>2.01</formula>
      <formula>2.5</formula>
    </cfRule>
  </conditionalFormatting>
  <conditionalFormatting sqref="K3:K52">
    <cfRule type="cellIs" dxfId="218" priority="8" stopIfTrue="1" operator="greaterThan">
      <formula>$F3*2.5</formula>
    </cfRule>
    <cfRule type="cellIs" dxfId="217" priority="9" stopIfTrue="1" operator="between">
      <formula>$F3*2</formula>
      <formula>$F3*2.5</formula>
    </cfRule>
  </conditionalFormatting>
  <conditionalFormatting sqref="G54">
    <cfRule type="cellIs" dxfId="216" priority="6" stopIfTrue="1" operator="greaterThan">
      <formula>2.5</formula>
    </cfRule>
    <cfRule type="cellIs" dxfId="215" priority="7" stopIfTrue="1" operator="between">
      <formula>2.01</formula>
      <formula>2.5</formula>
    </cfRule>
  </conditionalFormatting>
  <conditionalFormatting sqref="H3:H53">
    <cfRule type="cellIs" dxfId="214" priority="5" stopIfTrue="1" operator="lessThan">
      <formula>1</formula>
    </cfRule>
  </conditionalFormatting>
  <conditionalFormatting sqref="G3:G53">
    <cfRule type="cellIs" dxfId="213" priority="3" stopIfTrue="1" operator="greaterThan">
      <formula>2.5</formula>
    </cfRule>
    <cfRule type="cellIs" dxfId="212" priority="4" stopIfTrue="1" operator="between">
      <formula>2.01</formula>
      <formula>2.5</formula>
    </cfRule>
  </conditionalFormatting>
  <conditionalFormatting sqref="K3:K52">
    <cfRule type="cellIs" dxfId="211" priority="1" stopIfTrue="1" operator="greaterThan">
      <formula>$F3*2.5</formula>
    </cfRule>
    <cfRule type="cellIs" dxfId="210"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C2A2A-571C-4F8B-88AB-059A74BDDC28}">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453125" style="17" bestFit="1" customWidth="1"/>
    <col min="16" max="16" width="7.7265625" style="23" bestFit="1" customWidth="1"/>
    <col min="17" max="17" width="12.81640625" style="17" bestFit="1" customWidth="1"/>
    <col min="18" max="16384" width="9.1796875" style="17"/>
  </cols>
  <sheetData>
    <row r="1" spans="1:17" s="8" customFormat="1" ht="18" x14ac:dyDescent="0.25">
      <c r="A1" s="4" t="s">
        <v>100</v>
      </c>
      <c r="B1" s="178" t="s">
        <v>101</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989552393.11000001</v>
      </c>
      <c r="D3" s="13">
        <v>150423544.34000003</v>
      </c>
      <c r="E3" s="13">
        <v>12657105.800000001</v>
      </c>
      <c r="F3" s="13">
        <v>24778539</v>
      </c>
      <c r="G3" s="14">
        <v>6.07</v>
      </c>
      <c r="H3" s="14">
        <v>0.51</v>
      </c>
      <c r="I3" s="13">
        <v>1054758.8166666667</v>
      </c>
      <c r="J3" s="15">
        <v>9</v>
      </c>
      <c r="K3" s="13">
        <v>140930714.99000004</v>
      </c>
      <c r="L3" s="13">
        <v>11207385.148888893</v>
      </c>
      <c r="M3" s="13">
        <v>9830799.6488888934</v>
      </c>
      <c r="N3" s="179">
        <v>43647</v>
      </c>
      <c r="O3" s="16">
        <v>45839</v>
      </c>
      <c r="P3" s="13">
        <v>811907.21</v>
      </c>
      <c r="Q3" s="223" t="e">
        <v>#VALUE!</v>
      </c>
    </row>
    <row r="4" spans="1:17" x14ac:dyDescent="0.2">
      <c r="A4" s="4" t="s">
        <v>22</v>
      </c>
      <c r="B4" s="13">
        <v>708696383.32000005</v>
      </c>
      <c r="C4" s="13">
        <v>638977991.03999996</v>
      </c>
      <c r="D4" s="13">
        <v>69718392.280000091</v>
      </c>
      <c r="E4" s="13">
        <v>12280601.25</v>
      </c>
      <c r="F4" s="13">
        <v>13833071</v>
      </c>
      <c r="G4" s="14">
        <v>5.04</v>
      </c>
      <c r="H4" s="14">
        <v>0.89</v>
      </c>
      <c r="I4" s="13">
        <v>1023383.4375</v>
      </c>
      <c r="J4" s="15">
        <v>9</v>
      </c>
      <c r="K4" s="13">
        <v>60507941.342500091</v>
      </c>
      <c r="L4" s="13">
        <v>4672472.2533333432</v>
      </c>
      <c r="M4" s="13">
        <v>3903968.3088888992</v>
      </c>
      <c r="N4" s="179">
        <v>43647</v>
      </c>
      <c r="O4" s="16">
        <v>45839</v>
      </c>
      <c r="P4" s="13">
        <v>2217063.89</v>
      </c>
      <c r="Q4" s="222" t="e">
        <v>#VALUE!</v>
      </c>
    </row>
    <row r="5" spans="1:17" x14ac:dyDescent="0.2">
      <c r="A5" s="4" t="s">
        <v>24</v>
      </c>
      <c r="B5" s="13">
        <v>1469242870.97</v>
      </c>
      <c r="C5" s="13">
        <v>1303707648.1300001</v>
      </c>
      <c r="D5" s="13">
        <v>165535222.83999991</v>
      </c>
      <c r="E5" s="13">
        <v>12407952.33</v>
      </c>
      <c r="F5" s="13">
        <v>33073641</v>
      </c>
      <c r="G5" s="14">
        <v>5.01</v>
      </c>
      <c r="H5" s="14">
        <v>0.38</v>
      </c>
      <c r="I5" s="13">
        <v>1033996.0275</v>
      </c>
      <c r="J5" s="15">
        <v>9</v>
      </c>
      <c r="K5" s="13">
        <v>156229258.59249991</v>
      </c>
      <c r="L5" s="13">
        <v>11043104.537777768</v>
      </c>
      <c r="M5" s="13">
        <v>9205680.0377777684</v>
      </c>
      <c r="N5" s="179">
        <v>43647</v>
      </c>
      <c r="O5" s="16">
        <v>45839</v>
      </c>
      <c r="P5" s="13">
        <v>1774810.02</v>
      </c>
      <c r="Q5" s="222" t="e">
        <v>#VALUE!</v>
      </c>
    </row>
    <row r="6" spans="1:17" x14ac:dyDescent="0.2">
      <c r="A6" s="4" t="s">
        <v>21</v>
      </c>
      <c r="B6" s="13">
        <v>1788595890.3599999</v>
      </c>
      <c r="C6" s="13">
        <v>1556783788.2</v>
      </c>
      <c r="D6" s="13">
        <v>231812102.15999985</v>
      </c>
      <c r="E6" s="13">
        <v>43467327.140000001</v>
      </c>
      <c r="F6" s="13">
        <v>46272979</v>
      </c>
      <c r="G6" s="14">
        <v>5.01</v>
      </c>
      <c r="H6" s="14">
        <v>0.94</v>
      </c>
      <c r="I6" s="13">
        <v>3622277.2616666667</v>
      </c>
      <c r="J6" s="15">
        <v>3</v>
      </c>
      <c r="K6" s="13">
        <v>220945270.37499985</v>
      </c>
      <c r="L6" s="13">
        <v>46422048.053333282</v>
      </c>
      <c r="M6" s="13">
        <v>38709884.886666618</v>
      </c>
      <c r="N6" s="179">
        <v>43831</v>
      </c>
      <c r="O6" s="16">
        <v>45658</v>
      </c>
      <c r="P6" s="13">
        <v>5501487.4400000004</v>
      </c>
      <c r="Q6" s="222" t="e">
        <v>#VALUE!</v>
      </c>
    </row>
    <row r="7" spans="1:17" x14ac:dyDescent="0.2">
      <c r="A7" s="4" t="s">
        <v>23</v>
      </c>
      <c r="B7" s="13">
        <v>1336273473.74</v>
      </c>
      <c r="C7" s="13">
        <v>1203290282.71</v>
      </c>
      <c r="D7" s="13">
        <v>132983191.02999997</v>
      </c>
      <c r="E7" s="13">
        <v>28067387.850000001</v>
      </c>
      <c r="F7" s="13">
        <v>29074134</v>
      </c>
      <c r="G7" s="14">
        <v>4.57</v>
      </c>
      <c r="H7" s="14">
        <v>0.97</v>
      </c>
      <c r="I7" s="13">
        <v>2338948.9875000003</v>
      </c>
      <c r="J7" s="15">
        <v>3</v>
      </c>
      <c r="K7" s="13">
        <v>125966344.06749997</v>
      </c>
      <c r="L7" s="13">
        <v>24944974.343333323</v>
      </c>
      <c r="M7" s="13">
        <v>20099285.343333323</v>
      </c>
      <c r="N7" s="179">
        <v>43831</v>
      </c>
      <c r="O7" s="16">
        <v>45658</v>
      </c>
      <c r="P7" s="13">
        <v>1681565.46</v>
      </c>
      <c r="Q7" s="222" t="e">
        <v>#VALUE!</v>
      </c>
    </row>
    <row r="8" spans="1:17" x14ac:dyDescent="0.2">
      <c r="A8" s="4" t="s">
        <v>26</v>
      </c>
      <c r="B8" s="13">
        <v>120899760.39</v>
      </c>
      <c r="C8" s="13">
        <v>105175512.62</v>
      </c>
      <c r="D8" s="13">
        <v>15724247.769999996</v>
      </c>
      <c r="E8" s="13">
        <v>1412406.75</v>
      </c>
      <c r="F8" s="13">
        <v>3521015</v>
      </c>
      <c r="G8" s="14">
        <v>4.47</v>
      </c>
      <c r="H8" s="14">
        <v>0.4</v>
      </c>
      <c r="I8" s="13">
        <v>117700.5625</v>
      </c>
      <c r="J8" s="15">
        <v>3</v>
      </c>
      <c r="K8" s="13">
        <v>15371146.082499996</v>
      </c>
      <c r="L8" s="13">
        <v>2894072.5899999985</v>
      </c>
      <c r="M8" s="13">
        <v>2307236.7566666654</v>
      </c>
      <c r="N8" s="179">
        <v>43831</v>
      </c>
      <c r="O8" s="16">
        <v>45658</v>
      </c>
      <c r="P8" s="13">
        <v>574707.97</v>
      </c>
      <c r="Q8" s="222" t="e">
        <v>#VALUE!</v>
      </c>
    </row>
    <row r="9" spans="1:17" x14ac:dyDescent="0.2">
      <c r="A9" s="4" t="s">
        <v>27</v>
      </c>
      <c r="B9" s="13">
        <v>853256279</v>
      </c>
      <c r="C9" s="13">
        <v>779230233.22000003</v>
      </c>
      <c r="D9" s="13">
        <v>74026045.779999971</v>
      </c>
      <c r="E9" s="13">
        <v>15834276.42</v>
      </c>
      <c r="F9" s="13">
        <v>18836467</v>
      </c>
      <c r="G9" s="14">
        <v>3.93</v>
      </c>
      <c r="H9" s="14">
        <v>0.84</v>
      </c>
      <c r="I9" s="13">
        <v>1319523.0349999999</v>
      </c>
      <c r="J9" s="15">
        <v>0</v>
      </c>
      <c r="K9" s="13">
        <v>74026045.779999971</v>
      </c>
      <c r="L9" s="13" t="s">
        <v>20</v>
      </c>
      <c r="M9" s="13" t="s">
        <v>20</v>
      </c>
      <c r="N9" s="179">
        <v>43739</v>
      </c>
      <c r="O9" s="16">
        <v>45566</v>
      </c>
      <c r="P9" s="13">
        <v>778021.6</v>
      </c>
      <c r="Q9" s="222" t="e">
        <v>#VALUE!</v>
      </c>
    </row>
    <row r="10" spans="1:17" x14ac:dyDescent="0.2">
      <c r="A10" s="4" t="s">
        <v>31</v>
      </c>
      <c r="B10" s="13">
        <v>493558716</v>
      </c>
      <c r="C10" s="13">
        <v>450592208.32999998</v>
      </c>
      <c r="D10" s="13">
        <v>42966507.670000017</v>
      </c>
      <c r="E10" s="13">
        <v>9210594.2100000009</v>
      </c>
      <c r="F10" s="13">
        <v>11038481</v>
      </c>
      <c r="G10" s="14">
        <v>3.89</v>
      </c>
      <c r="H10" s="14">
        <v>0.83</v>
      </c>
      <c r="I10" s="13">
        <v>767549.51750000007</v>
      </c>
      <c r="J10" s="15">
        <v>3</v>
      </c>
      <c r="K10" s="13">
        <v>40663859.117500015</v>
      </c>
      <c r="L10" s="13">
        <v>6963181.8900000053</v>
      </c>
      <c r="M10" s="13">
        <v>5123435.0566666722</v>
      </c>
      <c r="N10" s="179">
        <v>43831</v>
      </c>
      <c r="O10" s="16">
        <v>45658</v>
      </c>
      <c r="P10" s="13">
        <v>1207588.72</v>
      </c>
      <c r="Q10" s="222" t="e">
        <v>#VALUE!</v>
      </c>
    </row>
    <row r="11" spans="1:17" x14ac:dyDescent="0.2">
      <c r="A11" s="4" t="s">
        <v>37</v>
      </c>
      <c r="B11" s="13">
        <v>187480557</v>
      </c>
      <c r="C11" s="13">
        <v>173850972.44999999</v>
      </c>
      <c r="D11" s="13">
        <v>13629584.550000012</v>
      </c>
      <c r="E11" s="13">
        <v>2427489.4300000002</v>
      </c>
      <c r="F11" s="13">
        <v>3515583</v>
      </c>
      <c r="G11" s="14">
        <v>3.88</v>
      </c>
      <c r="H11" s="14">
        <v>0.69</v>
      </c>
      <c r="I11" s="13">
        <v>202290.78583333336</v>
      </c>
      <c r="J11" s="15">
        <v>9</v>
      </c>
      <c r="K11" s="13">
        <v>11808967.477500012</v>
      </c>
      <c r="L11" s="13">
        <v>733157.61666666798</v>
      </c>
      <c r="M11" s="13">
        <v>537847.45000000135</v>
      </c>
      <c r="N11" s="179">
        <v>43647</v>
      </c>
      <c r="O11" s="16">
        <v>45839</v>
      </c>
      <c r="P11" s="13">
        <v>54624.06</v>
      </c>
      <c r="Q11" s="222" t="e">
        <v>#VALUE!</v>
      </c>
    </row>
    <row r="12" spans="1:17" x14ac:dyDescent="0.2">
      <c r="A12" s="4" t="s">
        <v>32</v>
      </c>
      <c r="B12" s="13">
        <v>1168142277.4400001</v>
      </c>
      <c r="C12" s="13">
        <v>1070486705.88</v>
      </c>
      <c r="D12" s="13">
        <v>97655571.560000062</v>
      </c>
      <c r="E12" s="13">
        <v>18108153.620000001</v>
      </c>
      <c r="F12" s="13">
        <v>26355588</v>
      </c>
      <c r="G12" s="14">
        <v>3.71</v>
      </c>
      <c r="H12" s="14">
        <v>0.69</v>
      </c>
      <c r="I12" s="13">
        <v>1509012.8016666668</v>
      </c>
      <c r="J12" s="15">
        <v>9</v>
      </c>
      <c r="K12" s="13">
        <v>84074456.345000058</v>
      </c>
      <c r="L12" s="13">
        <v>4993821.7288888954</v>
      </c>
      <c r="M12" s="13">
        <v>3529622.3955555623</v>
      </c>
      <c r="N12" s="179">
        <v>43647</v>
      </c>
      <c r="O12" s="16">
        <v>45839</v>
      </c>
      <c r="P12" s="13">
        <v>2668384.4300000002</v>
      </c>
      <c r="Q12" s="222" t="e">
        <v>#VALUE!</v>
      </c>
    </row>
    <row r="13" spans="1:17" x14ac:dyDescent="0.2">
      <c r="A13" s="4" t="s">
        <v>28</v>
      </c>
      <c r="B13" s="13">
        <v>1945106991</v>
      </c>
      <c r="C13" s="13">
        <v>1863048217.8299999</v>
      </c>
      <c r="D13" s="13">
        <v>82058773.170000076</v>
      </c>
      <c r="E13" s="13">
        <v>20231995.23</v>
      </c>
      <c r="F13" s="13">
        <v>22131554</v>
      </c>
      <c r="G13" s="14">
        <v>3.71</v>
      </c>
      <c r="H13" s="14">
        <v>0.91</v>
      </c>
      <c r="I13" s="13">
        <v>1685999.6025</v>
      </c>
      <c r="J13" s="15">
        <v>9</v>
      </c>
      <c r="K13" s="13">
        <v>66884776.747500077</v>
      </c>
      <c r="L13" s="13">
        <v>4199518.3522222303</v>
      </c>
      <c r="M13" s="13">
        <v>2969987.5744444528</v>
      </c>
      <c r="N13" s="179">
        <v>43647</v>
      </c>
      <c r="O13" s="16">
        <v>45839</v>
      </c>
      <c r="P13" s="13">
        <v>2762092.95</v>
      </c>
      <c r="Q13" s="222" t="e">
        <v>#VALUE!</v>
      </c>
    </row>
    <row r="14" spans="1:17" x14ac:dyDescent="0.2">
      <c r="A14" s="4" t="s">
        <v>25</v>
      </c>
      <c r="B14" s="13">
        <v>265120500</v>
      </c>
      <c r="C14" s="13">
        <v>242756576.69</v>
      </c>
      <c r="D14" s="13">
        <v>22363923.310000002</v>
      </c>
      <c r="E14" s="13">
        <v>10930363.07</v>
      </c>
      <c r="F14" s="13">
        <v>6172506</v>
      </c>
      <c r="G14" s="14">
        <v>3.62</v>
      </c>
      <c r="H14" s="14">
        <v>1.77</v>
      </c>
      <c r="I14" s="13">
        <v>910863.58916666673</v>
      </c>
      <c r="J14" s="15">
        <v>6</v>
      </c>
      <c r="K14" s="13">
        <v>16898741.775000002</v>
      </c>
      <c r="L14" s="13">
        <v>1669818.551666667</v>
      </c>
      <c r="M14" s="13">
        <v>1155443.051666667</v>
      </c>
      <c r="N14" s="179">
        <v>43922</v>
      </c>
      <c r="O14" s="16">
        <v>45748</v>
      </c>
      <c r="P14" s="13">
        <v>180272.09</v>
      </c>
      <c r="Q14" s="222" t="e">
        <v>#VALUE!</v>
      </c>
    </row>
    <row r="15" spans="1:17" x14ac:dyDescent="0.2">
      <c r="A15" s="4" t="s">
        <v>35</v>
      </c>
      <c r="B15" s="13">
        <v>794219275</v>
      </c>
      <c r="C15" s="13">
        <v>725737864.63999999</v>
      </c>
      <c r="D15" s="13">
        <v>68481410.360000014</v>
      </c>
      <c r="E15" s="13">
        <v>13443571.51</v>
      </c>
      <c r="F15" s="13">
        <v>19107637</v>
      </c>
      <c r="G15" s="14">
        <v>3.58</v>
      </c>
      <c r="H15" s="14">
        <v>0.7</v>
      </c>
      <c r="I15" s="13">
        <v>1120297.6258333332</v>
      </c>
      <c r="J15" s="15">
        <v>9</v>
      </c>
      <c r="K15" s="13">
        <v>58398731.727500014</v>
      </c>
      <c r="L15" s="13">
        <v>3362904.0400000014</v>
      </c>
      <c r="M15" s="13">
        <v>2301368.6511111129</v>
      </c>
      <c r="N15" s="179">
        <v>43647</v>
      </c>
      <c r="O15" s="16">
        <v>45839</v>
      </c>
      <c r="P15" s="13">
        <v>914991.18</v>
      </c>
      <c r="Q15" s="222" t="e">
        <v>#VALUE!</v>
      </c>
    </row>
    <row r="16" spans="1:17" x14ac:dyDescent="0.2">
      <c r="A16" s="4" t="s">
        <v>39</v>
      </c>
      <c r="B16" s="13">
        <v>500565228.91000003</v>
      </c>
      <c r="C16" s="13">
        <v>462928843.32999998</v>
      </c>
      <c r="D16" s="13">
        <v>37636385.580000043</v>
      </c>
      <c r="E16" s="13">
        <v>5532802.7400000002</v>
      </c>
      <c r="F16" s="13">
        <v>10539100</v>
      </c>
      <c r="G16" s="14">
        <v>3.57</v>
      </c>
      <c r="H16" s="14">
        <v>0.52</v>
      </c>
      <c r="I16" s="13">
        <v>461066.89500000002</v>
      </c>
      <c r="J16" s="15">
        <v>9</v>
      </c>
      <c r="K16" s="13">
        <v>33486783.525000043</v>
      </c>
      <c r="L16" s="13">
        <v>1839798.3977777825</v>
      </c>
      <c r="M16" s="13">
        <v>1254292.842222227</v>
      </c>
      <c r="N16" s="179">
        <v>43647</v>
      </c>
      <c r="O16" s="16">
        <v>45839</v>
      </c>
      <c r="P16" s="13">
        <v>628659.81999999995</v>
      </c>
      <c r="Q16" s="222" t="e">
        <v>#VALUE!</v>
      </c>
    </row>
    <row r="17" spans="1:17" x14ac:dyDescent="0.2">
      <c r="A17" s="4" t="s">
        <v>34</v>
      </c>
      <c r="B17" s="13">
        <v>1438428739.9100001</v>
      </c>
      <c r="C17" s="13">
        <v>1331757657.6099999</v>
      </c>
      <c r="D17" s="13">
        <v>106671082.30000019</v>
      </c>
      <c r="E17" s="13">
        <v>30285128.309999999</v>
      </c>
      <c r="F17" s="13">
        <v>30065955</v>
      </c>
      <c r="G17" s="14">
        <v>3.55</v>
      </c>
      <c r="H17" s="14">
        <v>1.01</v>
      </c>
      <c r="I17" s="13">
        <v>2523760.6924999999</v>
      </c>
      <c r="J17" s="15">
        <v>9</v>
      </c>
      <c r="K17" s="13">
        <v>83957236.067500189</v>
      </c>
      <c r="L17" s="13">
        <v>5171019.1444444656</v>
      </c>
      <c r="M17" s="13">
        <v>3500688.3111111321</v>
      </c>
      <c r="N17" s="179">
        <v>43647</v>
      </c>
      <c r="O17" s="16">
        <v>45839</v>
      </c>
      <c r="P17" s="13">
        <v>2810892.56</v>
      </c>
      <c r="Q17" s="222" t="e">
        <v>#VALUE!</v>
      </c>
    </row>
    <row r="18" spans="1:17" x14ac:dyDescent="0.2">
      <c r="A18" s="4" t="s">
        <v>40</v>
      </c>
      <c r="B18" s="13">
        <v>203184695.25999999</v>
      </c>
      <c r="C18" s="13">
        <v>183381620.25999999</v>
      </c>
      <c r="D18" s="13">
        <v>19803075</v>
      </c>
      <c r="E18" s="13">
        <v>7558040.54</v>
      </c>
      <c r="F18" s="13">
        <v>5655134</v>
      </c>
      <c r="G18" s="14">
        <v>3.5</v>
      </c>
      <c r="H18" s="14">
        <v>1.34</v>
      </c>
      <c r="I18" s="13">
        <v>629836.71166666667</v>
      </c>
      <c r="J18" s="15">
        <v>9</v>
      </c>
      <c r="K18" s="13">
        <v>14134544.594999999</v>
      </c>
      <c r="L18" s="13">
        <v>943645.22222222225</v>
      </c>
      <c r="M18" s="13" t="s">
        <v>42</v>
      </c>
      <c r="N18" s="179">
        <v>43647</v>
      </c>
      <c r="O18" s="16">
        <v>45839</v>
      </c>
      <c r="P18" s="13">
        <v>1640590.59</v>
      </c>
      <c r="Q18" s="222" t="e">
        <v>#VALUE!</v>
      </c>
    </row>
    <row r="19" spans="1:17" x14ac:dyDescent="0.2">
      <c r="A19" s="4" t="s">
        <v>29</v>
      </c>
      <c r="B19" s="13">
        <v>800464324.92999995</v>
      </c>
      <c r="C19" s="13">
        <v>742372199.25</v>
      </c>
      <c r="D19" s="13">
        <v>58092125.679999948</v>
      </c>
      <c r="E19" s="13">
        <v>24349302.239999998</v>
      </c>
      <c r="F19" s="13">
        <v>17480755</v>
      </c>
      <c r="G19" s="14">
        <v>3.32</v>
      </c>
      <c r="H19" s="14">
        <v>1.39</v>
      </c>
      <c r="I19" s="13">
        <v>2029108.5199999998</v>
      </c>
      <c r="J19" s="15">
        <v>9</v>
      </c>
      <c r="K19" s="13">
        <v>39830148.999999948</v>
      </c>
      <c r="L19" s="13">
        <v>2570068.408888883</v>
      </c>
      <c r="M19" s="13" t="s">
        <v>42</v>
      </c>
      <c r="N19" s="179">
        <v>43647</v>
      </c>
      <c r="O19" s="16">
        <v>45839</v>
      </c>
      <c r="P19" s="13">
        <v>1938217.93</v>
      </c>
      <c r="Q19" s="222" t="e">
        <v>#VALUE!</v>
      </c>
    </row>
    <row r="20" spans="1:17" x14ac:dyDescent="0.2">
      <c r="A20" s="4" t="s">
        <v>44</v>
      </c>
      <c r="B20" s="13">
        <v>300551063.33999997</v>
      </c>
      <c r="C20" s="13">
        <v>278265656.74000001</v>
      </c>
      <c r="D20" s="13">
        <v>22285406.599999964</v>
      </c>
      <c r="E20" s="13">
        <v>6647060.1299999999</v>
      </c>
      <c r="F20" s="13">
        <v>6730317</v>
      </c>
      <c r="G20" s="14">
        <v>3.31</v>
      </c>
      <c r="H20" s="14">
        <v>0.99</v>
      </c>
      <c r="I20" s="13">
        <v>553921.67749999999</v>
      </c>
      <c r="J20" s="15">
        <v>9</v>
      </c>
      <c r="K20" s="13">
        <v>17300111.502499964</v>
      </c>
      <c r="L20" s="13">
        <v>980530.28888888494</v>
      </c>
      <c r="M20" s="13">
        <v>606623.78888888494</v>
      </c>
      <c r="N20" s="179">
        <v>43647</v>
      </c>
      <c r="O20" s="16">
        <v>45839</v>
      </c>
      <c r="P20" s="13">
        <v>160229.78</v>
      </c>
      <c r="Q20" s="222" t="e">
        <v>#VALUE!</v>
      </c>
    </row>
    <row r="21" spans="1:17" x14ac:dyDescent="0.2">
      <c r="A21" s="4" t="s">
        <v>30</v>
      </c>
      <c r="B21" s="13">
        <v>1022430792.45</v>
      </c>
      <c r="C21" s="13">
        <v>956761940.20000005</v>
      </c>
      <c r="D21" s="13">
        <v>65668852.25</v>
      </c>
      <c r="E21" s="13">
        <v>23503188.34</v>
      </c>
      <c r="F21" s="13">
        <v>19809810</v>
      </c>
      <c r="G21" s="14">
        <v>3.31</v>
      </c>
      <c r="H21" s="14">
        <v>1.19</v>
      </c>
      <c r="I21" s="13">
        <v>1958599.0283333333</v>
      </c>
      <c r="J21" s="15">
        <v>6</v>
      </c>
      <c r="K21" s="13">
        <v>53917258.079999998</v>
      </c>
      <c r="L21" s="13">
        <v>4341538.708333333</v>
      </c>
      <c r="M21" s="13">
        <v>2690721.2083333335</v>
      </c>
      <c r="N21" s="179">
        <v>43922</v>
      </c>
      <c r="O21" s="16">
        <v>45748</v>
      </c>
      <c r="P21" s="13">
        <v>1293621</v>
      </c>
      <c r="Q21" s="222" t="e">
        <v>#VALUE!</v>
      </c>
    </row>
    <row r="22" spans="1:17" x14ac:dyDescent="0.2">
      <c r="A22" s="4" t="s">
        <v>47</v>
      </c>
      <c r="B22" s="13">
        <v>104394118</v>
      </c>
      <c r="C22" s="13">
        <v>95626189.700000003</v>
      </c>
      <c r="D22" s="13">
        <v>8767928.299999997</v>
      </c>
      <c r="E22" s="13">
        <v>1160080.1100000001</v>
      </c>
      <c r="F22" s="13">
        <v>2677355</v>
      </c>
      <c r="G22" s="14">
        <v>3.27</v>
      </c>
      <c r="H22" s="14">
        <v>0.43</v>
      </c>
      <c r="I22" s="13">
        <v>96673.342500000013</v>
      </c>
      <c r="J22" s="15">
        <v>9</v>
      </c>
      <c r="K22" s="13">
        <v>7897868.2174999965</v>
      </c>
      <c r="L22" s="13">
        <v>379246.47777777747</v>
      </c>
      <c r="M22" s="13">
        <v>230504.53333333301</v>
      </c>
      <c r="N22" s="179">
        <v>43647</v>
      </c>
      <c r="O22" s="16">
        <v>45839</v>
      </c>
      <c r="P22" s="13">
        <v>2120.7199999999998</v>
      </c>
      <c r="Q22" s="222" t="e">
        <v>#VALUE!</v>
      </c>
    </row>
    <row r="23" spans="1:17" x14ac:dyDescent="0.2">
      <c r="A23" s="4" t="s">
        <v>33</v>
      </c>
      <c r="B23" s="13">
        <v>1010324720</v>
      </c>
      <c r="C23" s="13">
        <v>938090339.40999997</v>
      </c>
      <c r="D23" s="13">
        <v>72234380.590000033</v>
      </c>
      <c r="E23" s="13">
        <v>24318515.809999999</v>
      </c>
      <c r="F23" s="13">
        <v>23059848</v>
      </c>
      <c r="G23" s="14">
        <v>3.13</v>
      </c>
      <c r="H23" s="14">
        <v>1.05</v>
      </c>
      <c r="I23" s="13">
        <v>2026542.9841666666</v>
      </c>
      <c r="J23" s="15">
        <v>6</v>
      </c>
      <c r="K23" s="13">
        <v>60075122.685000032</v>
      </c>
      <c r="L23" s="13">
        <v>4352447.4316666722</v>
      </c>
      <c r="M23" s="13">
        <v>2430793.4316666722</v>
      </c>
      <c r="N23" s="179">
        <v>43922</v>
      </c>
      <c r="O23" s="16">
        <v>45748</v>
      </c>
      <c r="P23" s="13">
        <v>847080.47</v>
      </c>
      <c r="Q23" s="222" t="e">
        <v>#VALUE!</v>
      </c>
    </row>
    <row r="24" spans="1:17" x14ac:dyDescent="0.2">
      <c r="A24" s="4" t="s">
        <v>43</v>
      </c>
      <c r="B24" s="13">
        <v>254239457</v>
      </c>
      <c r="C24" s="13">
        <v>236612203.69999999</v>
      </c>
      <c r="D24" s="13">
        <v>17627253.300000012</v>
      </c>
      <c r="E24" s="13">
        <v>4886404.58</v>
      </c>
      <c r="F24" s="13">
        <v>5680880</v>
      </c>
      <c r="G24" s="14">
        <v>3.1</v>
      </c>
      <c r="H24" s="14">
        <v>0.86</v>
      </c>
      <c r="I24" s="13">
        <v>407200.38166666665</v>
      </c>
      <c r="J24" s="15">
        <v>3</v>
      </c>
      <c r="K24" s="13">
        <v>16405652.155000012</v>
      </c>
      <c r="L24" s="13">
        <v>2088497.7666666706</v>
      </c>
      <c r="M24" s="13">
        <v>1141684.4333333373</v>
      </c>
      <c r="N24" s="179">
        <v>43831</v>
      </c>
      <c r="O24" s="16">
        <v>45658</v>
      </c>
      <c r="P24" s="13">
        <v>0</v>
      </c>
      <c r="Q24" s="222" t="e">
        <v>#VALUE!</v>
      </c>
    </row>
    <row r="25" spans="1:17" x14ac:dyDescent="0.2">
      <c r="A25" s="4" t="s">
        <v>45</v>
      </c>
      <c r="B25" s="13">
        <v>2001064841.29</v>
      </c>
      <c r="C25" s="13">
        <v>1884597600.24</v>
      </c>
      <c r="D25" s="13">
        <v>116467241.04999995</v>
      </c>
      <c r="E25" s="13">
        <v>38752618.439999998</v>
      </c>
      <c r="F25" s="13">
        <v>40779947</v>
      </c>
      <c r="G25" s="14">
        <v>2.86</v>
      </c>
      <c r="H25" s="14">
        <v>0.95</v>
      </c>
      <c r="I25" s="13">
        <v>3229384.8699999996</v>
      </c>
      <c r="J25" s="15">
        <v>3</v>
      </c>
      <c r="K25" s="13">
        <v>106779086.43999995</v>
      </c>
      <c r="L25" s="13">
        <v>11635782.349999985</v>
      </c>
      <c r="M25" s="13">
        <v>4839124.5166666508</v>
      </c>
      <c r="N25" s="179">
        <v>43831</v>
      </c>
      <c r="O25" s="16">
        <v>45658</v>
      </c>
      <c r="P25" s="13">
        <v>3317872.68</v>
      </c>
      <c r="Q25" s="222" t="e">
        <v>#VALUE!</v>
      </c>
    </row>
    <row r="26" spans="1:17" x14ac:dyDescent="0.2">
      <c r="A26" s="4" t="s">
        <v>36</v>
      </c>
      <c r="B26" s="13">
        <v>392634217.93000001</v>
      </c>
      <c r="C26" s="13">
        <v>366067151.75</v>
      </c>
      <c r="D26" s="13">
        <v>26567066.180000007</v>
      </c>
      <c r="E26" s="13">
        <v>14547238.16</v>
      </c>
      <c r="F26" s="13">
        <v>9305817</v>
      </c>
      <c r="G26" s="14">
        <v>2.85</v>
      </c>
      <c r="H26" s="14">
        <v>1.56</v>
      </c>
      <c r="I26" s="13">
        <v>1212269.8466666667</v>
      </c>
      <c r="J26" s="15">
        <v>6</v>
      </c>
      <c r="K26" s="13">
        <v>19293447.100000009</v>
      </c>
      <c r="L26" s="13">
        <v>1325905.3633333344</v>
      </c>
      <c r="M26" s="13" t="s">
        <v>42</v>
      </c>
      <c r="N26" s="179">
        <v>43556</v>
      </c>
      <c r="O26" s="16">
        <v>45748</v>
      </c>
      <c r="P26" s="13">
        <v>-785020.26</v>
      </c>
      <c r="Q26" s="222" t="e">
        <v>#VALUE!</v>
      </c>
    </row>
    <row r="27" spans="1:17" x14ac:dyDescent="0.2">
      <c r="A27" s="4" t="s">
        <v>41</v>
      </c>
      <c r="B27" s="13">
        <v>1228777673.53</v>
      </c>
      <c r="C27" s="13">
        <v>1096176690.1199999</v>
      </c>
      <c r="D27" s="13">
        <v>132600983.41000009</v>
      </c>
      <c r="E27" s="13">
        <v>45167962.060000002</v>
      </c>
      <c r="F27" s="13">
        <v>47456120</v>
      </c>
      <c r="G27" s="14">
        <v>2.79</v>
      </c>
      <c r="H27" s="14">
        <v>0.95</v>
      </c>
      <c r="I27" s="13">
        <v>3763996.8383333334</v>
      </c>
      <c r="J27" s="15">
        <v>3</v>
      </c>
      <c r="K27" s="13">
        <v>121308992.89500009</v>
      </c>
      <c r="L27" s="13">
        <v>12562914.470000029</v>
      </c>
      <c r="M27" s="13">
        <v>4653561.1366666956</v>
      </c>
      <c r="N27" s="179">
        <v>43831</v>
      </c>
      <c r="O27" s="16">
        <v>45658</v>
      </c>
      <c r="P27" s="13">
        <v>3966523</v>
      </c>
      <c r="Q27" s="222" t="e">
        <v>#VALUE!</v>
      </c>
    </row>
    <row r="28" spans="1:17" x14ac:dyDescent="0.2">
      <c r="A28" s="4" t="s">
        <v>55</v>
      </c>
      <c r="B28" s="13">
        <v>675052951</v>
      </c>
      <c r="C28" s="13">
        <v>634171028.24000001</v>
      </c>
      <c r="D28" s="13">
        <v>40881922.75999999</v>
      </c>
      <c r="E28" s="13">
        <v>8304408.0199999996</v>
      </c>
      <c r="F28" s="13">
        <v>14786581</v>
      </c>
      <c r="G28" s="14">
        <v>2.76</v>
      </c>
      <c r="H28" s="14">
        <v>0.56000000000000005</v>
      </c>
      <c r="I28" s="13">
        <v>692034.00166666659</v>
      </c>
      <c r="J28" s="15">
        <v>3</v>
      </c>
      <c r="K28" s="13">
        <v>38805820.754999988</v>
      </c>
      <c r="L28" s="13">
        <v>3769586.9199999967</v>
      </c>
      <c r="M28" s="13">
        <v>1305156.7533333302</v>
      </c>
      <c r="N28" s="179">
        <v>43466</v>
      </c>
      <c r="O28" s="16">
        <v>45658</v>
      </c>
      <c r="P28" s="13">
        <v>0</v>
      </c>
      <c r="Q28" s="222" t="e">
        <v>#VALUE!</v>
      </c>
    </row>
    <row r="29" spans="1:17" x14ac:dyDescent="0.2">
      <c r="A29" s="4" t="s">
        <v>51</v>
      </c>
      <c r="B29" s="13">
        <v>1059732308</v>
      </c>
      <c r="C29" s="13">
        <v>993175287.62</v>
      </c>
      <c r="D29" s="13">
        <v>66557020.379999995</v>
      </c>
      <c r="E29" s="13">
        <v>20608980.469999999</v>
      </c>
      <c r="F29" s="13">
        <v>24168777</v>
      </c>
      <c r="G29" s="14">
        <v>2.75</v>
      </c>
      <c r="H29" s="14">
        <v>0.85</v>
      </c>
      <c r="I29" s="13">
        <v>1717415.0391666666</v>
      </c>
      <c r="J29" s="15">
        <v>3</v>
      </c>
      <c r="K29" s="13">
        <v>61404775.262499996</v>
      </c>
      <c r="L29" s="13">
        <v>6073155.4599999981</v>
      </c>
      <c r="M29" s="13">
        <v>2045025.9599999983</v>
      </c>
      <c r="N29" s="179">
        <v>43831</v>
      </c>
      <c r="O29" s="16">
        <v>45658</v>
      </c>
      <c r="P29" s="13">
        <v>1599987.36</v>
      </c>
      <c r="Q29" s="222" t="e">
        <v>#VALUE!</v>
      </c>
    </row>
    <row r="30" spans="1:17" x14ac:dyDescent="0.2">
      <c r="A30" s="4" t="s">
        <v>49</v>
      </c>
      <c r="B30" s="13">
        <v>1239472339.1700001</v>
      </c>
      <c r="C30" s="13">
        <v>1173451263.46</v>
      </c>
      <c r="D30" s="13">
        <v>66021075.710000038</v>
      </c>
      <c r="E30" s="13">
        <v>19075943.719999999</v>
      </c>
      <c r="F30" s="13">
        <v>24088947</v>
      </c>
      <c r="G30" s="14">
        <v>2.74</v>
      </c>
      <c r="H30" s="14">
        <v>0.79</v>
      </c>
      <c r="I30" s="13">
        <v>1589661.9766666666</v>
      </c>
      <c r="J30" s="15">
        <v>9</v>
      </c>
      <c r="K30" s="13">
        <v>51714117.920000039</v>
      </c>
      <c r="L30" s="13">
        <v>1982575.7455555599</v>
      </c>
      <c r="M30" s="13" t="s">
        <v>42</v>
      </c>
      <c r="N30" s="179">
        <v>43647</v>
      </c>
      <c r="O30" s="16">
        <v>45839</v>
      </c>
      <c r="P30" s="13">
        <v>619335.79</v>
      </c>
      <c r="Q30" s="222" t="e">
        <v>#VALUE!</v>
      </c>
    </row>
    <row r="31" spans="1:17" x14ac:dyDescent="0.2">
      <c r="A31" s="4" t="s">
        <v>50</v>
      </c>
      <c r="B31" s="13">
        <v>1642297566.0699999</v>
      </c>
      <c r="C31" s="13">
        <v>1534628880.77</v>
      </c>
      <c r="D31" s="13">
        <v>107668685.29999995</v>
      </c>
      <c r="E31" s="13">
        <v>33895037.93</v>
      </c>
      <c r="F31" s="13">
        <v>40984884</v>
      </c>
      <c r="G31" s="14">
        <v>2.63</v>
      </c>
      <c r="H31" s="14">
        <v>0.83</v>
      </c>
      <c r="I31" s="13">
        <v>2824586.4941666666</v>
      </c>
      <c r="J31" s="15">
        <v>9</v>
      </c>
      <c r="K31" s="13">
        <v>82247406.852499962</v>
      </c>
      <c r="L31" s="13">
        <v>2855435.2555555501</v>
      </c>
      <c r="M31" s="13" t="s">
        <v>42</v>
      </c>
      <c r="N31" s="179">
        <v>43647</v>
      </c>
      <c r="O31" s="16">
        <v>45839</v>
      </c>
      <c r="P31" s="13">
        <v>3241600.87</v>
      </c>
      <c r="Q31" s="222" t="e">
        <v>#VALUE!</v>
      </c>
    </row>
    <row r="32" spans="1:17" x14ac:dyDescent="0.2">
      <c r="A32" s="4" t="s">
        <v>46</v>
      </c>
      <c r="B32" s="13">
        <v>314446387.48000002</v>
      </c>
      <c r="C32" s="13">
        <v>292630935.55000001</v>
      </c>
      <c r="D32" s="13">
        <v>21815451.930000007</v>
      </c>
      <c r="E32" s="13">
        <v>9784275.3499999996</v>
      </c>
      <c r="F32" s="13">
        <v>8369791</v>
      </c>
      <c r="G32" s="14">
        <v>2.61</v>
      </c>
      <c r="H32" s="14">
        <v>1.17</v>
      </c>
      <c r="I32" s="13">
        <v>815356.27916666667</v>
      </c>
      <c r="J32" s="15">
        <v>9</v>
      </c>
      <c r="K32" s="13">
        <v>14477245.417500008</v>
      </c>
      <c r="L32" s="13" t="s">
        <v>42</v>
      </c>
      <c r="M32" s="13" t="s">
        <v>42</v>
      </c>
      <c r="N32" s="179">
        <v>43647</v>
      </c>
      <c r="O32" s="16">
        <v>45839</v>
      </c>
      <c r="P32" s="13">
        <v>648606.59</v>
      </c>
      <c r="Q32" s="222" t="e">
        <v>#VALUE!</v>
      </c>
    </row>
    <row r="33" spans="1:17" x14ac:dyDescent="0.2">
      <c r="A33" s="4" t="s">
        <v>38</v>
      </c>
      <c r="B33" s="13">
        <v>528328839.02999997</v>
      </c>
      <c r="C33" s="13">
        <v>492440851.95999998</v>
      </c>
      <c r="D33" s="13">
        <v>35887987.069999993</v>
      </c>
      <c r="E33" s="13">
        <v>14971780.85</v>
      </c>
      <c r="F33" s="13">
        <v>13880022</v>
      </c>
      <c r="G33" s="14">
        <v>2.59</v>
      </c>
      <c r="H33" s="14">
        <v>1.08</v>
      </c>
      <c r="I33" s="13">
        <v>1247648.4041666666</v>
      </c>
      <c r="J33" s="15">
        <v>9</v>
      </c>
      <c r="K33" s="13">
        <v>24659151.432499994</v>
      </c>
      <c r="L33" s="13" t="s">
        <v>42</v>
      </c>
      <c r="M33" s="13" t="s">
        <v>42</v>
      </c>
      <c r="N33" s="179">
        <v>43647</v>
      </c>
      <c r="O33" s="16">
        <v>45839</v>
      </c>
      <c r="P33" s="13">
        <v>460682</v>
      </c>
      <c r="Q33" s="222" t="e">
        <v>#VALUE!</v>
      </c>
    </row>
    <row r="34" spans="1:17" x14ac:dyDescent="0.2">
      <c r="A34" s="4" t="s">
        <v>56</v>
      </c>
      <c r="B34" s="13">
        <v>1154905413</v>
      </c>
      <c r="C34" s="13">
        <v>1087078316.5999999</v>
      </c>
      <c r="D34" s="13">
        <v>67827096.400000095</v>
      </c>
      <c r="E34" s="13">
        <v>23210517.109999999</v>
      </c>
      <c r="F34" s="13">
        <v>27571438</v>
      </c>
      <c r="G34" s="14">
        <v>2.46</v>
      </c>
      <c r="H34" s="14">
        <v>0.84</v>
      </c>
      <c r="I34" s="13">
        <v>1934209.7591666665</v>
      </c>
      <c r="J34" s="15">
        <v>9</v>
      </c>
      <c r="K34" s="13">
        <v>50419208.5675001</v>
      </c>
      <c r="L34" s="13" t="s">
        <v>42</v>
      </c>
      <c r="M34" s="13" t="s">
        <v>42</v>
      </c>
      <c r="N34" s="179">
        <v>43647</v>
      </c>
      <c r="O34" s="16">
        <v>45839</v>
      </c>
      <c r="P34" s="13">
        <v>2078786.51</v>
      </c>
      <c r="Q34" s="222" t="e">
        <v>#VALUE!</v>
      </c>
    </row>
    <row r="35" spans="1:17" x14ac:dyDescent="0.2">
      <c r="A35" s="4" t="s">
        <v>64</v>
      </c>
      <c r="B35" s="13">
        <v>346058940</v>
      </c>
      <c r="C35" s="13">
        <v>323934581.35000002</v>
      </c>
      <c r="D35" s="13">
        <v>22124358.649999976</v>
      </c>
      <c r="E35" s="13">
        <v>5975084.9400000004</v>
      </c>
      <c r="F35" s="13">
        <v>9353201</v>
      </c>
      <c r="G35" s="14">
        <v>2.37</v>
      </c>
      <c r="H35" s="14">
        <v>0.64</v>
      </c>
      <c r="I35" s="13">
        <v>497923.74500000005</v>
      </c>
      <c r="J35" s="15">
        <v>3</v>
      </c>
      <c r="K35" s="13">
        <v>20630587.414999977</v>
      </c>
      <c r="L35" s="13">
        <v>1139318.8833333254</v>
      </c>
      <c r="M35" s="13" t="s">
        <v>42</v>
      </c>
      <c r="N35" s="179">
        <v>43831</v>
      </c>
      <c r="O35" s="16">
        <v>45658</v>
      </c>
      <c r="P35" s="13">
        <v>820922.76</v>
      </c>
      <c r="Q35" s="222" t="e">
        <v>#VALUE!</v>
      </c>
    </row>
    <row r="36" spans="1:17" x14ac:dyDescent="0.2">
      <c r="A36" s="4" t="s">
        <v>52</v>
      </c>
      <c r="B36" s="13">
        <v>522049097</v>
      </c>
      <c r="C36" s="13">
        <v>492858918.22000003</v>
      </c>
      <c r="D36" s="13">
        <v>29190178.779999971</v>
      </c>
      <c r="E36" s="13">
        <v>13021897.48</v>
      </c>
      <c r="F36" s="13">
        <v>13105608</v>
      </c>
      <c r="G36" s="14">
        <v>2.23</v>
      </c>
      <c r="H36" s="14">
        <v>0.99</v>
      </c>
      <c r="I36" s="13">
        <v>1085158.1233333333</v>
      </c>
      <c r="J36" s="15">
        <v>9</v>
      </c>
      <c r="K36" s="13">
        <v>19423755.669999972</v>
      </c>
      <c r="L36" s="13" t="s">
        <v>42</v>
      </c>
      <c r="M36" s="13" t="s">
        <v>42</v>
      </c>
      <c r="N36" s="179">
        <v>43647</v>
      </c>
      <c r="O36" s="16">
        <v>45839</v>
      </c>
      <c r="P36" s="13">
        <v>1319329.1100000001</v>
      </c>
      <c r="Q36" s="222" t="e">
        <v>#VALUE!</v>
      </c>
    </row>
    <row r="37" spans="1:17" x14ac:dyDescent="0.2">
      <c r="A37" s="4" t="s">
        <v>53</v>
      </c>
      <c r="B37" s="13">
        <v>2879313105.54</v>
      </c>
      <c r="C37" s="13">
        <v>2725656936.8800001</v>
      </c>
      <c r="D37" s="13">
        <v>153656168.65999985</v>
      </c>
      <c r="E37" s="13">
        <v>74851122.909999996</v>
      </c>
      <c r="F37" s="13">
        <v>70613641</v>
      </c>
      <c r="G37" s="14">
        <v>2.1800000000000002</v>
      </c>
      <c r="H37" s="14">
        <v>1.06</v>
      </c>
      <c r="I37" s="13">
        <v>6237593.5758333327</v>
      </c>
      <c r="J37" s="15">
        <v>0</v>
      </c>
      <c r="K37" s="13">
        <v>153656168.65999985</v>
      </c>
      <c r="L37" s="13" t="s">
        <v>20</v>
      </c>
      <c r="M37" s="13" t="s">
        <v>42</v>
      </c>
      <c r="N37" s="179">
        <v>44075</v>
      </c>
      <c r="O37" s="16">
        <v>45536</v>
      </c>
      <c r="P37" s="13">
        <v>6936567.3499999996</v>
      </c>
      <c r="Q37" s="222" t="e">
        <v>#VALUE!</v>
      </c>
    </row>
    <row r="38" spans="1:17" x14ac:dyDescent="0.2">
      <c r="A38" s="4" t="s">
        <v>60</v>
      </c>
      <c r="B38" s="13">
        <v>342887810.45999998</v>
      </c>
      <c r="C38" s="13">
        <v>325253487.36000001</v>
      </c>
      <c r="D38" s="13">
        <v>17634323.099999964</v>
      </c>
      <c r="E38" s="13">
        <v>7400473.8399999999</v>
      </c>
      <c r="F38" s="13">
        <v>8236180</v>
      </c>
      <c r="G38" s="14">
        <v>2.14</v>
      </c>
      <c r="H38" s="14">
        <v>0.9</v>
      </c>
      <c r="I38" s="13">
        <v>616706.15333333332</v>
      </c>
      <c r="J38" s="15">
        <v>6</v>
      </c>
      <c r="K38" s="13">
        <v>13934086.179999964</v>
      </c>
      <c r="L38" s="13" t="s">
        <v>42</v>
      </c>
      <c r="M38" s="13" t="s">
        <v>42</v>
      </c>
      <c r="N38" s="179">
        <v>43556</v>
      </c>
      <c r="O38" s="16">
        <v>45748</v>
      </c>
      <c r="P38" s="13">
        <v>0</v>
      </c>
      <c r="Q38" s="222" t="e">
        <v>#VALUE!</v>
      </c>
    </row>
    <row r="39" spans="1:17" x14ac:dyDescent="0.2">
      <c r="A39" s="4" t="s">
        <v>61</v>
      </c>
      <c r="B39" s="13">
        <v>1085275104.5</v>
      </c>
      <c r="C39" s="13">
        <v>1036556787.8</v>
      </c>
      <c r="D39" s="13">
        <v>48718316.700000048</v>
      </c>
      <c r="E39" s="13">
        <v>22937564.16</v>
      </c>
      <c r="F39" s="13">
        <v>22858857</v>
      </c>
      <c r="G39" s="14">
        <v>2.13</v>
      </c>
      <c r="H39" s="14">
        <v>1</v>
      </c>
      <c r="I39" s="13">
        <v>1911463.68</v>
      </c>
      <c r="J39" s="15">
        <v>6</v>
      </c>
      <c r="K39" s="13">
        <v>37249534.620000049</v>
      </c>
      <c r="L39" s="13" t="s">
        <v>42</v>
      </c>
      <c r="M39" s="13" t="s">
        <v>42</v>
      </c>
      <c r="N39" s="179">
        <v>43556</v>
      </c>
      <c r="O39" s="16">
        <v>45748</v>
      </c>
      <c r="P39" s="13">
        <v>1275894.1599999999</v>
      </c>
      <c r="Q39" s="222" t="e">
        <v>#VALUE!</v>
      </c>
    </row>
    <row r="40" spans="1:17" x14ac:dyDescent="0.2">
      <c r="A40" s="4" t="s">
        <v>48</v>
      </c>
      <c r="B40" s="13">
        <v>545409679.30999994</v>
      </c>
      <c r="C40" s="13">
        <v>520571648.24000001</v>
      </c>
      <c r="D40" s="13">
        <v>24838031.069999933</v>
      </c>
      <c r="E40" s="13">
        <v>15461623.93</v>
      </c>
      <c r="F40" s="13">
        <v>11656242</v>
      </c>
      <c r="G40" s="14">
        <v>2.13</v>
      </c>
      <c r="H40" s="14">
        <v>1.33</v>
      </c>
      <c r="I40" s="13">
        <v>1288468.6608333334</v>
      </c>
      <c r="J40" s="15">
        <v>3</v>
      </c>
      <c r="K40" s="13">
        <v>20972625.087499931</v>
      </c>
      <c r="L40" s="13" t="s">
        <v>42</v>
      </c>
      <c r="M40" s="13" t="s">
        <v>42</v>
      </c>
      <c r="N40" s="179">
        <v>43831</v>
      </c>
      <c r="O40" s="16">
        <v>45658</v>
      </c>
      <c r="P40" s="13">
        <v>1976088.05</v>
      </c>
      <c r="Q40" s="222" t="e">
        <v>#VALUE!</v>
      </c>
    </row>
    <row r="41" spans="1:17" x14ac:dyDescent="0.2">
      <c r="A41" s="4" t="s">
        <v>63</v>
      </c>
      <c r="B41" s="13">
        <v>1309738768.5599999</v>
      </c>
      <c r="C41" s="13">
        <v>1245559192.4000001</v>
      </c>
      <c r="D41" s="13">
        <v>64179576.159999847</v>
      </c>
      <c r="E41" s="13">
        <v>27157733.16</v>
      </c>
      <c r="F41" s="13">
        <v>30738746</v>
      </c>
      <c r="G41" s="14">
        <v>2.09</v>
      </c>
      <c r="H41" s="14">
        <v>0.88</v>
      </c>
      <c r="I41" s="13">
        <v>2263144.4300000002</v>
      </c>
      <c r="J41" s="15">
        <v>9</v>
      </c>
      <c r="K41" s="13">
        <v>43811276.289999843</v>
      </c>
      <c r="L41" s="13" t="s">
        <v>42</v>
      </c>
      <c r="M41" s="13" t="s">
        <v>42</v>
      </c>
      <c r="N41" s="179">
        <v>43647</v>
      </c>
      <c r="O41" s="16">
        <v>45839</v>
      </c>
      <c r="P41" s="13">
        <v>514370.53</v>
      </c>
      <c r="Q41" s="222" t="e">
        <v>#VALUE!</v>
      </c>
    </row>
    <row r="42" spans="1:17" x14ac:dyDescent="0.2">
      <c r="A42" s="4" t="s">
        <v>58</v>
      </c>
      <c r="B42" s="13">
        <v>1205115490</v>
      </c>
      <c r="C42" s="13">
        <v>1158084603.4100001</v>
      </c>
      <c r="D42" s="13">
        <v>47030886.589999914</v>
      </c>
      <c r="E42" s="13">
        <v>24731825.510000002</v>
      </c>
      <c r="F42" s="13">
        <v>22499042</v>
      </c>
      <c r="G42" s="14">
        <v>2.09</v>
      </c>
      <c r="H42" s="14">
        <v>1.1000000000000001</v>
      </c>
      <c r="I42" s="13">
        <v>2060985.4591666667</v>
      </c>
      <c r="J42" s="15">
        <v>6</v>
      </c>
      <c r="K42" s="13">
        <v>34664973.834999911</v>
      </c>
      <c r="L42" s="13" t="s">
        <v>42</v>
      </c>
      <c r="M42" s="13" t="s">
        <v>42</v>
      </c>
      <c r="N42" s="179">
        <v>43922</v>
      </c>
      <c r="O42" s="16">
        <v>45748</v>
      </c>
      <c r="P42" s="13">
        <v>1409542.09</v>
      </c>
      <c r="Q42" s="222" t="e">
        <v>#VALUE!</v>
      </c>
    </row>
    <row r="43" spans="1:17" x14ac:dyDescent="0.2">
      <c r="A43" s="4" t="s">
        <v>57</v>
      </c>
      <c r="B43" s="13">
        <v>98701064</v>
      </c>
      <c r="C43" s="13">
        <v>93146745.209999993</v>
      </c>
      <c r="D43" s="13">
        <v>5554318.7900000066</v>
      </c>
      <c r="E43" s="13">
        <v>3452822.96</v>
      </c>
      <c r="F43" s="13">
        <v>2898567</v>
      </c>
      <c r="G43" s="14">
        <v>1.92</v>
      </c>
      <c r="H43" s="14">
        <v>1.19</v>
      </c>
      <c r="I43" s="13">
        <v>287735.24666666664</v>
      </c>
      <c r="J43" s="15">
        <v>9</v>
      </c>
      <c r="K43" s="13">
        <v>2964701.5700000068</v>
      </c>
      <c r="L43" s="13" t="s">
        <v>42</v>
      </c>
      <c r="M43" s="13" t="s">
        <v>42</v>
      </c>
      <c r="N43" s="179">
        <v>43647</v>
      </c>
      <c r="O43" s="16">
        <v>45839</v>
      </c>
      <c r="P43" s="13">
        <v>269953.31</v>
      </c>
      <c r="Q43" s="222" t="e">
        <v>#VALUE!</v>
      </c>
    </row>
    <row r="44" spans="1:17" x14ac:dyDescent="0.2">
      <c r="A44" s="4" t="s">
        <v>54</v>
      </c>
      <c r="B44" s="13">
        <v>1394382977.99</v>
      </c>
      <c r="C44" s="13">
        <v>1330022017.3499999</v>
      </c>
      <c r="D44" s="13">
        <v>64360960.640000105</v>
      </c>
      <c r="E44" s="13">
        <v>47580046.520000003</v>
      </c>
      <c r="F44" s="13">
        <v>34869850</v>
      </c>
      <c r="G44" s="14">
        <v>1.85</v>
      </c>
      <c r="H44" s="14">
        <v>1.36</v>
      </c>
      <c r="I44" s="13">
        <v>3965003.8766666669</v>
      </c>
      <c r="J44" s="15">
        <v>6</v>
      </c>
      <c r="K44" s="13">
        <v>40570937.3800001</v>
      </c>
      <c r="L44" s="13" t="s">
        <v>42</v>
      </c>
      <c r="M44" s="13" t="s">
        <v>42</v>
      </c>
      <c r="N44" s="179">
        <v>43922</v>
      </c>
      <c r="O44" s="16">
        <v>45748</v>
      </c>
      <c r="P44" s="13">
        <v>10075297.77</v>
      </c>
      <c r="Q44" s="222" t="e">
        <v>#VALUE!</v>
      </c>
    </row>
    <row r="45" spans="1:17" x14ac:dyDescent="0.2">
      <c r="A45" s="4" t="s">
        <v>67</v>
      </c>
      <c r="B45" s="13">
        <v>1082941284</v>
      </c>
      <c r="C45" s="13">
        <v>1034115931.91</v>
      </c>
      <c r="D45" s="13">
        <v>48825352.090000033</v>
      </c>
      <c r="E45" s="13">
        <v>22503027.420000002</v>
      </c>
      <c r="F45" s="13">
        <v>27168342</v>
      </c>
      <c r="G45" s="14">
        <v>1.8</v>
      </c>
      <c r="H45" s="14">
        <v>0.83</v>
      </c>
      <c r="I45" s="13">
        <v>1875252.2850000001</v>
      </c>
      <c r="J45" s="15">
        <v>6</v>
      </c>
      <c r="K45" s="13">
        <v>37573838.380000032</v>
      </c>
      <c r="L45" s="13" t="s">
        <v>42</v>
      </c>
      <c r="M45" s="13" t="s">
        <v>42</v>
      </c>
      <c r="N45" s="179">
        <v>43922</v>
      </c>
      <c r="O45" s="16">
        <v>45748</v>
      </c>
      <c r="P45" s="13">
        <v>593964.68999999994</v>
      </c>
      <c r="Q45" s="222" t="e">
        <v>#VALUE!</v>
      </c>
    </row>
    <row r="46" spans="1:17" x14ac:dyDescent="0.2">
      <c r="A46" s="4" t="s">
        <v>66</v>
      </c>
      <c r="B46" s="13">
        <v>1940110596.77</v>
      </c>
      <c r="C46" s="13">
        <v>1860669615.1900001</v>
      </c>
      <c r="D46" s="13">
        <v>79440981.579999924</v>
      </c>
      <c r="E46" s="13">
        <v>43010545.969999999</v>
      </c>
      <c r="F46" s="13">
        <v>45492764</v>
      </c>
      <c r="G46" s="14">
        <v>1.75</v>
      </c>
      <c r="H46" s="14">
        <v>0.95</v>
      </c>
      <c r="I46" s="13">
        <v>3584212.1641666666</v>
      </c>
      <c r="J46" s="15">
        <v>9</v>
      </c>
      <c r="K46" s="13">
        <v>47183072.102499925</v>
      </c>
      <c r="L46" s="13" t="s">
        <v>42</v>
      </c>
      <c r="M46" s="13" t="s">
        <v>42</v>
      </c>
      <c r="N46" s="179">
        <v>43647</v>
      </c>
      <c r="O46" s="16">
        <v>45839</v>
      </c>
      <c r="P46" s="13">
        <v>4968934.76</v>
      </c>
      <c r="Q46" s="222" t="e">
        <v>#VALUE!</v>
      </c>
    </row>
    <row r="47" spans="1:17" x14ac:dyDescent="0.2">
      <c r="A47" s="4" t="s">
        <v>62</v>
      </c>
      <c r="B47" s="13">
        <v>685388676.61000001</v>
      </c>
      <c r="C47" s="13">
        <v>661269564.88</v>
      </c>
      <c r="D47" s="13">
        <v>24119111.730000019</v>
      </c>
      <c r="E47" s="13">
        <v>18218720.98</v>
      </c>
      <c r="F47" s="13">
        <v>13963452</v>
      </c>
      <c r="G47" s="14">
        <v>1.73</v>
      </c>
      <c r="H47" s="14">
        <v>1.3</v>
      </c>
      <c r="I47" s="13">
        <v>1518226.7483333333</v>
      </c>
      <c r="J47" s="15">
        <v>6</v>
      </c>
      <c r="K47" s="13">
        <v>15009751.240000019</v>
      </c>
      <c r="L47" s="13" t="s">
        <v>42</v>
      </c>
      <c r="M47" s="13" t="s">
        <v>42</v>
      </c>
      <c r="N47" s="179">
        <v>43922</v>
      </c>
      <c r="O47" s="16">
        <v>45748</v>
      </c>
      <c r="P47" s="13">
        <v>1622477.19</v>
      </c>
      <c r="Q47" s="222" t="e">
        <v>#VALUE!</v>
      </c>
    </row>
    <row r="48" spans="1:17" x14ac:dyDescent="0.2">
      <c r="A48" s="4" t="s">
        <v>59</v>
      </c>
      <c r="B48" s="13">
        <v>277600986</v>
      </c>
      <c r="C48" s="13">
        <v>264698141.03</v>
      </c>
      <c r="D48" s="13">
        <v>12902844.969999999</v>
      </c>
      <c r="E48" s="13">
        <v>10217911.550000001</v>
      </c>
      <c r="F48" s="13">
        <v>7461397</v>
      </c>
      <c r="G48" s="14">
        <v>1.73</v>
      </c>
      <c r="H48" s="14">
        <v>1.37</v>
      </c>
      <c r="I48" s="13">
        <v>851492.62916666677</v>
      </c>
      <c r="J48" s="15">
        <v>9</v>
      </c>
      <c r="K48" s="13">
        <v>5239411.3074999982</v>
      </c>
      <c r="L48" s="13" t="s">
        <v>42</v>
      </c>
      <c r="M48" s="13" t="s">
        <v>42</v>
      </c>
      <c r="N48" s="179">
        <v>43647</v>
      </c>
      <c r="O48" s="16">
        <v>45839</v>
      </c>
      <c r="P48" s="13">
        <v>0</v>
      </c>
      <c r="Q48" s="222" t="e">
        <v>#VALUE!</v>
      </c>
    </row>
    <row r="49" spans="1:17" x14ac:dyDescent="0.2">
      <c r="A49" s="4" t="s">
        <v>68</v>
      </c>
      <c r="B49" s="13">
        <v>497245980</v>
      </c>
      <c r="C49" s="13">
        <v>478439351.82999998</v>
      </c>
      <c r="D49" s="13">
        <v>18806628.170000017</v>
      </c>
      <c r="E49" s="13">
        <v>10438241.199999999</v>
      </c>
      <c r="F49" s="13">
        <v>11808636</v>
      </c>
      <c r="G49" s="14">
        <v>1.59</v>
      </c>
      <c r="H49" s="14">
        <v>0.88</v>
      </c>
      <c r="I49" s="13">
        <v>869853.43333333323</v>
      </c>
      <c r="J49" s="15">
        <v>3</v>
      </c>
      <c r="K49" s="13">
        <v>16197067.870000016</v>
      </c>
      <c r="L49" s="13" t="s">
        <v>42</v>
      </c>
      <c r="M49" s="13" t="s">
        <v>42</v>
      </c>
      <c r="N49" s="179">
        <v>43831</v>
      </c>
      <c r="O49" s="16">
        <v>45658</v>
      </c>
      <c r="P49" s="13">
        <v>396839.87</v>
      </c>
      <c r="Q49" s="222" t="e">
        <v>#VALUE!</v>
      </c>
    </row>
    <row r="50" spans="1:17" x14ac:dyDescent="0.2">
      <c r="A50" s="4" t="s">
        <v>65</v>
      </c>
      <c r="B50" s="13">
        <v>389160034</v>
      </c>
      <c r="C50" s="13">
        <v>374323137.94999999</v>
      </c>
      <c r="D50" s="13">
        <v>14836896.050000012</v>
      </c>
      <c r="E50" s="13">
        <v>11624822.779999999</v>
      </c>
      <c r="F50" s="13">
        <v>10126728</v>
      </c>
      <c r="G50" s="14">
        <v>1.47</v>
      </c>
      <c r="H50" s="14">
        <v>1.1499999999999999</v>
      </c>
      <c r="I50" s="13">
        <v>968735.23166666657</v>
      </c>
      <c r="J50" s="15">
        <v>9</v>
      </c>
      <c r="K50" s="13">
        <v>6118278.9650000129</v>
      </c>
      <c r="L50" s="13" t="s">
        <v>42</v>
      </c>
      <c r="M50" s="13" t="s">
        <v>42</v>
      </c>
      <c r="N50" s="179">
        <v>43647</v>
      </c>
      <c r="O50" s="16">
        <v>45839</v>
      </c>
      <c r="P50" s="13">
        <v>1630056.13</v>
      </c>
      <c r="Q50" s="222" t="e">
        <v>#VALUE!</v>
      </c>
    </row>
    <row r="51" spans="1:17" x14ac:dyDescent="0.2">
      <c r="A51" s="4" t="s">
        <v>69</v>
      </c>
      <c r="B51" s="13">
        <v>238203233</v>
      </c>
      <c r="C51" s="13">
        <v>233403754.16999999</v>
      </c>
      <c r="D51" s="13">
        <v>4799478.8300000131</v>
      </c>
      <c r="E51" s="13">
        <v>6955956.2800000003</v>
      </c>
      <c r="F51" s="13">
        <v>5501208</v>
      </c>
      <c r="G51" s="14">
        <v>0.87</v>
      </c>
      <c r="H51" s="14">
        <v>1.26</v>
      </c>
      <c r="I51" s="13">
        <v>579663.02333333332</v>
      </c>
      <c r="J51" s="15">
        <v>9</v>
      </c>
      <c r="K51" s="13">
        <v>-417488.37999998685</v>
      </c>
      <c r="L51" s="13" t="s">
        <v>42</v>
      </c>
      <c r="M51" s="13" t="s">
        <v>42</v>
      </c>
      <c r="N51" s="179">
        <v>43647</v>
      </c>
      <c r="O51" s="16">
        <v>45839</v>
      </c>
      <c r="P51" s="13">
        <v>2204717.33</v>
      </c>
      <c r="Q51" s="222" t="e">
        <v>#VALUE!</v>
      </c>
    </row>
    <row r="52" spans="1:17" x14ac:dyDescent="0.2">
      <c r="A52" s="4" t="s">
        <v>70</v>
      </c>
      <c r="B52" s="13">
        <v>75470621</v>
      </c>
      <c r="C52" s="13">
        <v>73178619.109999999</v>
      </c>
      <c r="D52" s="18">
        <v>2292001.8900000006</v>
      </c>
      <c r="E52" s="13">
        <v>2570721.5499999998</v>
      </c>
      <c r="F52" s="13">
        <v>2752623</v>
      </c>
      <c r="G52" s="14">
        <v>0.83</v>
      </c>
      <c r="H52" s="14">
        <v>0.93</v>
      </c>
      <c r="I52" s="18">
        <v>214226.79583333331</v>
      </c>
      <c r="J52" s="15">
        <v>9</v>
      </c>
      <c r="K52" s="18">
        <v>363960.72750000074</v>
      </c>
      <c r="L52" s="18" t="s">
        <v>42</v>
      </c>
      <c r="M52" s="18" t="s">
        <v>42</v>
      </c>
      <c r="N52" s="180">
        <v>43647</v>
      </c>
      <c r="O52" s="16">
        <v>45839</v>
      </c>
      <c r="P52" s="13">
        <v>222460.87</v>
      </c>
      <c r="Q52" s="222" t="e">
        <v>#VALUE!</v>
      </c>
    </row>
    <row r="53" spans="1:17" x14ac:dyDescent="0.25">
      <c r="A53" s="34" t="s">
        <v>71</v>
      </c>
      <c r="B53" s="31">
        <v>43056918036.709999</v>
      </c>
      <c r="C53" s="13">
        <v>40115148085.650002</v>
      </c>
      <c r="D53" s="31">
        <v>2941769951.0599976</v>
      </c>
      <c r="E53" s="13">
        <v>925148652.65999997</v>
      </c>
      <c r="F53" s="13">
        <v>981907757</v>
      </c>
      <c r="G53" s="14">
        <v>3</v>
      </c>
      <c r="H53" s="14">
        <v>0.94</v>
      </c>
      <c r="I53" s="31">
        <v>77095721.054999992</v>
      </c>
      <c r="J53" s="32"/>
      <c r="K53" s="33"/>
      <c r="L53" s="33"/>
      <c r="M53" s="33"/>
      <c r="N53" s="33"/>
      <c r="O53" s="33"/>
      <c r="P53" s="31">
        <v>81834720.400000006</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31</v>
      </c>
      <c r="H56" s="25"/>
    </row>
    <row r="57" spans="1:17" ht="27" customHeight="1" thickBot="1" x14ac:dyDescent="0.3">
      <c r="D57" s="228" t="s">
        <v>73</v>
      </c>
      <c r="E57" s="229"/>
      <c r="F57" s="229"/>
      <c r="G57" s="27"/>
      <c r="H57" s="28">
        <v>31</v>
      </c>
    </row>
  </sheetData>
  <mergeCells count="2">
    <mergeCell ref="D56:F56"/>
    <mergeCell ref="D57:F57"/>
  </mergeCells>
  <conditionalFormatting sqref="G54">
    <cfRule type="cellIs" dxfId="209" priority="13" stopIfTrue="1" operator="greaterThan">
      <formula>2.5</formula>
    </cfRule>
    <cfRule type="cellIs" dxfId="208" priority="14" stopIfTrue="1" operator="between">
      <formula>2.01</formula>
      <formula>2.5</formula>
    </cfRule>
  </conditionalFormatting>
  <conditionalFormatting sqref="H3:H53">
    <cfRule type="cellIs" dxfId="207" priority="12" stopIfTrue="1" operator="lessThan">
      <formula>1</formula>
    </cfRule>
  </conditionalFormatting>
  <conditionalFormatting sqref="G3:G53">
    <cfRule type="cellIs" dxfId="206" priority="10" stopIfTrue="1" operator="greaterThan">
      <formula>2.5</formula>
    </cfRule>
    <cfRule type="cellIs" dxfId="205" priority="11" stopIfTrue="1" operator="between">
      <formula>2.01</formula>
      <formula>2.5</formula>
    </cfRule>
  </conditionalFormatting>
  <conditionalFormatting sqref="K3:K52">
    <cfRule type="cellIs" dxfId="204" priority="8" stopIfTrue="1" operator="greaterThan">
      <formula>$F3*2.5</formula>
    </cfRule>
    <cfRule type="cellIs" dxfId="203" priority="9" stopIfTrue="1" operator="between">
      <formula>$F3*2</formula>
      <formula>$F3*2.5</formula>
    </cfRule>
  </conditionalFormatting>
  <conditionalFormatting sqref="G54">
    <cfRule type="cellIs" dxfId="202" priority="6" stopIfTrue="1" operator="greaterThan">
      <formula>2.5</formula>
    </cfRule>
    <cfRule type="cellIs" dxfId="201" priority="7" stopIfTrue="1" operator="between">
      <formula>2.01</formula>
      <formula>2.5</formula>
    </cfRule>
  </conditionalFormatting>
  <conditionalFormatting sqref="H3:H53">
    <cfRule type="cellIs" dxfId="200" priority="5" stopIfTrue="1" operator="lessThan">
      <formula>1</formula>
    </cfRule>
  </conditionalFormatting>
  <conditionalFormatting sqref="G3:G53">
    <cfRule type="cellIs" dxfId="199" priority="3" stopIfTrue="1" operator="greaterThan">
      <formula>2.5</formula>
    </cfRule>
    <cfRule type="cellIs" dxfId="198" priority="4" stopIfTrue="1" operator="between">
      <formula>2.01</formula>
      <formula>2.5</formula>
    </cfRule>
  </conditionalFormatting>
  <conditionalFormatting sqref="K3:K52">
    <cfRule type="cellIs" dxfId="197" priority="1" stopIfTrue="1" operator="greaterThan">
      <formula>$F3*2.5</formula>
    </cfRule>
    <cfRule type="cellIs" dxfId="196"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B658-BCB2-49AA-9F59-0D1856A5E59B}">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7.7265625" style="23" hidden="1" customWidth="1"/>
    <col min="17" max="17" width="12.81640625" style="17" hidden="1" customWidth="1"/>
    <col min="18" max="16384" width="9.1796875" style="17"/>
  </cols>
  <sheetData>
    <row r="1" spans="1:17" s="8" customFormat="1" ht="18" x14ac:dyDescent="0.25">
      <c r="A1" s="4" t="s">
        <v>102</v>
      </c>
      <c r="B1" s="178" t="s">
        <v>103</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991953190.50999999</v>
      </c>
      <c r="D3" s="13">
        <v>148022746.94000006</v>
      </c>
      <c r="E3" s="13">
        <v>14628857.43</v>
      </c>
      <c r="F3" s="13">
        <v>24778539</v>
      </c>
      <c r="G3" s="14">
        <v>5.97</v>
      </c>
      <c r="H3" s="14">
        <v>0.59</v>
      </c>
      <c r="I3" s="13">
        <v>1219071.4524999999</v>
      </c>
      <c r="J3" s="15">
        <v>8</v>
      </c>
      <c r="K3" s="13">
        <v>138270175.32000005</v>
      </c>
      <c r="L3" s="13">
        <v>12308208.617500007</v>
      </c>
      <c r="M3" s="13">
        <v>10759549.930000007</v>
      </c>
      <c r="N3" s="179">
        <v>43647</v>
      </c>
      <c r="O3" s="16">
        <v>45839</v>
      </c>
      <c r="P3" s="13">
        <v>2400797.4</v>
      </c>
      <c r="Q3" s="223" t="e">
        <v>#VALUE!</v>
      </c>
    </row>
    <row r="4" spans="1:17" x14ac:dyDescent="0.2">
      <c r="A4" s="4" t="s">
        <v>24</v>
      </c>
      <c r="B4" s="13">
        <v>1469242870.97</v>
      </c>
      <c r="C4" s="13">
        <v>1306570639.98</v>
      </c>
      <c r="D4" s="13">
        <v>162672230.99000001</v>
      </c>
      <c r="E4" s="13">
        <v>14085309.85</v>
      </c>
      <c r="F4" s="13">
        <v>33073641</v>
      </c>
      <c r="G4" s="14">
        <v>4.92</v>
      </c>
      <c r="H4" s="14">
        <v>0.43</v>
      </c>
      <c r="I4" s="13">
        <v>1173775.8208333333</v>
      </c>
      <c r="J4" s="15">
        <v>8</v>
      </c>
      <c r="K4" s="13">
        <v>153282024.42333335</v>
      </c>
      <c r="L4" s="13">
        <v>12065618.623750001</v>
      </c>
      <c r="M4" s="13">
        <v>9998516.0612500012</v>
      </c>
      <c r="N4" s="179">
        <v>43647</v>
      </c>
      <c r="O4" s="16">
        <v>45839</v>
      </c>
      <c r="P4" s="13">
        <v>2862991.85</v>
      </c>
      <c r="Q4" s="222" t="e">
        <v>#VALUE!</v>
      </c>
    </row>
    <row r="5" spans="1:17" x14ac:dyDescent="0.2">
      <c r="A5" s="4" t="s">
        <v>22</v>
      </c>
      <c r="B5" s="13">
        <v>708696383.32000005</v>
      </c>
      <c r="C5" s="13">
        <v>640888123.37</v>
      </c>
      <c r="D5" s="13">
        <v>67808259.950000048</v>
      </c>
      <c r="E5" s="13">
        <v>13365925.529999999</v>
      </c>
      <c r="F5" s="13">
        <v>13833071</v>
      </c>
      <c r="G5" s="14">
        <v>4.9000000000000004</v>
      </c>
      <c r="H5" s="14">
        <v>0.97</v>
      </c>
      <c r="I5" s="13">
        <v>1113827.1274999999</v>
      </c>
      <c r="J5" s="15">
        <v>8</v>
      </c>
      <c r="K5" s="13">
        <v>58897642.930000052</v>
      </c>
      <c r="L5" s="13">
        <v>5017764.743750006</v>
      </c>
      <c r="M5" s="13">
        <v>4153197.806250006</v>
      </c>
      <c r="N5" s="179">
        <v>43647</v>
      </c>
      <c r="O5" s="16">
        <v>45839</v>
      </c>
      <c r="P5" s="13">
        <v>1910132.33</v>
      </c>
      <c r="Q5" s="222" t="e">
        <v>#VALUE!</v>
      </c>
    </row>
    <row r="6" spans="1:17" x14ac:dyDescent="0.2">
      <c r="A6" s="4" t="s">
        <v>21</v>
      </c>
      <c r="B6" s="13">
        <v>1788595890.3599999</v>
      </c>
      <c r="C6" s="13">
        <v>1562717231.0799999</v>
      </c>
      <c r="D6" s="13">
        <v>225878659.27999997</v>
      </c>
      <c r="E6" s="13">
        <v>43904499.909999996</v>
      </c>
      <c r="F6" s="13">
        <v>46272979</v>
      </c>
      <c r="G6" s="14">
        <v>4.88</v>
      </c>
      <c r="H6" s="14">
        <v>0.95</v>
      </c>
      <c r="I6" s="13">
        <v>3658708.3258333332</v>
      </c>
      <c r="J6" s="15">
        <v>2</v>
      </c>
      <c r="K6" s="13">
        <v>218561242.6283333</v>
      </c>
      <c r="L6" s="13">
        <v>66666350.639999986</v>
      </c>
      <c r="M6" s="13">
        <v>55098105.889999986</v>
      </c>
      <c r="N6" s="179">
        <v>43831</v>
      </c>
      <c r="O6" s="16">
        <v>45658</v>
      </c>
      <c r="P6" s="13">
        <v>5933442.8799999999</v>
      </c>
      <c r="Q6" s="222" t="e">
        <v>#VALUE!</v>
      </c>
    </row>
    <row r="7" spans="1:17" x14ac:dyDescent="0.2">
      <c r="A7" s="4" t="s">
        <v>26</v>
      </c>
      <c r="B7" s="13">
        <v>120899760.39</v>
      </c>
      <c r="C7" s="13">
        <v>105192088.95999999</v>
      </c>
      <c r="D7" s="13">
        <v>15707671.430000007</v>
      </c>
      <c r="E7" s="13">
        <v>1162955.8500000001</v>
      </c>
      <c r="F7" s="13">
        <v>3521015</v>
      </c>
      <c r="G7" s="14">
        <v>4.46</v>
      </c>
      <c r="H7" s="14">
        <v>0.33</v>
      </c>
      <c r="I7" s="13">
        <v>96912.987500000003</v>
      </c>
      <c r="J7" s="15">
        <v>2</v>
      </c>
      <c r="K7" s="13">
        <v>15513845.455000008</v>
      </c>
      <c r="L7" s="13">
        <v>4332820.7150000036</v>
      </c>
      <c r="M7" s="13">
        <v>3452566.9650000036</v>
      </c>
      <c r="N7" s="179">
        <v>43831</v>
      </c>
      <c r="O7" s="16">
        <v>45658</v>
      </c>
      <c r="P7" s="13">
        <v>16576.34</v>
      </c>
      <c r="Q7" s="222" t="e">
        <v>#VALUE!</v>
      </c>
    </row>
    <row r="8" spans="1:17" x14ac:dyDescent="0.2">
      <c r="A8" s="4" t="s">
        <v>23</v>
      </c>
      <c r="B8" s="13">
        <v>1336273473.74</v>
      </c>
      <c r="C8" s="13">
        <v>1214740140.27</v>
      </c>
      <c r="D8" s="13">
        <v>121533333.47000003</v>
      </c>
      <c r="E8" s="13">
        <v>35871062.57</v>
      </c>
      <c r="F8" s="13">
        <v>29074134</v>
      </c>
      <c r="G8" s="14">
        <v>4.18</v>
      </c>
      <c r="H8" s="14">
        <v>1.23</v>
      </c>
      <c r="I8" s="13">
        <v>2989255.2141666668</v>
      </c>
      <c r="J8" s="15">
        <v>2</v>
      </c>
      <c r="K8" s="13">
        <v>115554823.0416667</v>
      </c>
      <c r="L8" s="13">
        <v>31692532.735000014</v>
      </c>
      <c r="M8" s="13">
        <v>24423999.235000014</v>
      </c>
      <c r="N8" s="179">
        <v>43831</v>
      </c>
      <c r="O8" s="16">
        <v>45658</v>
      </c>
      <c r="P8" s="13">
        <v>11449857.560000001</v>
      </c>
      <c r="Q8" s="222" t="e">
        <v>#VALUE!</v>
      </c>
    </row>
    <row r="9" spans="1:17" x14ac:dyDescent="0.2">
      <c r="A9" s="4" t="s">
        <v>31</v>
      </c>
      <c r="B9" s="13">
        <v>493558716</v>
      </c>
      <c r="C9" s="13">
        <v>450592208.32999998</v>
      </c>
      <c r="D9" s="13">
        <v>42966507.670000017</v>
      </c>
      <c r="E9" s="13">
        <v>8002572.3399999999</v>
      </c>
      <c r="F9" s="13">
        <v>11038481</v>
      </c>
      <c r="G9" s="14">
        <v>3.89</v>
      </c>
      <c r="H9" s="14">
        <v>0.72</v>
      </c>
      <c r="I9" s="13">
        <v>666881.02833333332</v>
      </c>
      <c r="J9" s="15">
        <v>2</v>
      </c>
      <c r="K9" s="13">
        <v>41632745.613333352</v>
      </c>
      <c r="L9" s="13">
        <v>10444772.835000008</v>
      </c>
      <c r="M9" s="13">
        <v>7685152.5850000083</v>
      </c>
      <c r="N9" s="179">
        <v>43831</v>
      </c>
      <c r="O9" s="16">
        <v>45658</v>
      </c>
      <c r="P9" s="13">
        <v>0</v>
      </c>
      <c r="Q9" s="222" t="e">
        <v>#VALUE!</v>
      </c>
    </row>
    <row r="10" spans="1:17" x14ac:dyDescent="0.2">
      <c r="A10" s="4" t="s">
        <v>37</v>
      </c>
      <c r="B10" s="13">
        <v>187480557</v>
      </c>
      <c r="C10" s="13">
        <v>173850972.44999999</v>
      </c>
      <c r="D10" s="13">
        <v>13629584.550000012</v>
      </c>
      <c r="E10" s="13">
        <v>2370697.91</v>
      </c>
      <c r="F10" s="13">
        <v>3515583</v>
      </c>
      <c r="G10" s="14">
        <v>3.88</v>
      </c>
      <c r="H10" s="14">
        <v>0.67</v>
      </c>
      <c r="I10" s="13">
        <v>197558.15916666668</v>
      </c>
      <c r="J10" s="15">
        <v>8</v>
      </c>
      <c r="K10" s="13">
        <v>12049119.276666678</v>
      </c>
      <c r="L10" s="13">
        <v>824802.31875000149</v>
      </c>
      <c r="M10" s="13">
        <v>605078.38125000149</v>
      </c>
      <c r="N10" s="179">
        <v>43647</v>
      </c>
      <c r="O10" s="16">
        <v>45839</v>
      </c>
      <c r="P10" s="13">
        <v>0</v>
      </c>
      <c r="Q10" s="222" t="e">
        <v>#VALUE!</v>
      </c>
    </row>
    <row r="11" spans="1:17" x14ac:dyDescent="0.2">
      <c r="A11" s="4" t="s">
        <v>27</v>
      </c>
      <c r="B11" s="13">
        <v>853256279</v>
      </c>
      <c r="C11" s="13">
        <v>783186576.38</v>
      </c>
      <c r="D11" s="13">
        <v>70069702.620000005</v>
      </c>
      <c r="E11" s="13">
        <v>17723736.399999999</v>
      </c>
      <c r="F11" s="13">
        <v>18836467</v>
      </c>
      <c r="G11" s="14">
        <v>3.72</v>
      </c>
      <c r="H11" s="14">
        <v>0.94</v>
      </c>
      <c r="I11" s="13">
        <v>1476978.0333333332</v>
      </c>
      <c r="J11" s="15">
        <v>0</v>
      </c>
      <c r="K11" s="13">
        <v>70069702.620000005</v>
      </c>
      <c r="L11" s="13" t="s">
        <v>20</v>
      </c>
      <c r="M11" s="13" t="s">
        <v>20</v>
      </c>
      <c r="N11" s="179">
        <v>43739</v>
      </c>
      <c r="O11" s="16">
        <v>45566</v>
      </c>
      <c r="P11" s="13">
        <v>3956343.16</v>
      </c>
      <c r="Q11" s="222" t="e">
        <v>#VALUE!</v>
      </c>
    </row>
    <row r="12" spans="1:17" x14ac:dyDescent="0.2">
      <c r="A12" s="4" t="s">
        <v>32</v>
      </c>
      <c r="B12" s="13">
        <v>1168142277.4400001</v>
      </c>
      <c r="C12" s="13">
        <v>1072112482.88</v>
      </c>
      <c r="D12" s="13">
        <v>96029794.560000062</v>
      </c>
      <c r="E12" s="13">
        <v>19263324.620000001</v>
      </c>
      <c r="F12" s="13">
        <v>26355588</v>
      </c>
      <c r="G12" s="14">
        <v>3.64</v>
      </c>
      <c r="H12" s="14">
        <v>0.73</v>
      </c>
      <c r="I12" s="13">
        <v>1605277.0516666668</v>
      </c>
      <c r="J12" s="15">
        <v>8</v>
      </c>
      <c r="K12" s="13">
        <v>83187578.146666735</v>
      </c>
      <c r="L12" s="13">
        <v>5414827.3200000077</v>
      </c>
      <c r="M12" s="13">
        <v>3767603.0700000077</v>
      </c>
      <c r="N12" s="179">
        <v>43647</v>
      </c>
      <c r="O12" s="16">
        <v>45839</v>
      </c>
      <c r="P12" s="13">
        <v>1625777</v>
      </c>
      <c r="Q12" s="222" t="e">
        <v>#VALUE!</v>
      </c>
    </row>
    <row r="13" spans="1:17" x14ac:dyDescent="0.2">
      <c r="A13" s="4" t="s">
        <v>28</v>
      </c>
      <c r="B13" s="13">
        <v>1945106991</v>
      </c>
      <c r="C13" s="13">
        <v>1865307660.0899999</v>
      </c>
      <c r="D13" s="13">
        <v>79799330.910000086</v>
      </c>
      <c r="E13" s="13">
        <v>20124909.760000002</v>
      </c>
      <c r="F13" s="13">
        <v>22131554</v>
      </c>
      <c r="G13" s="14">
        <v>3.61</v>
      </c>
      <c r="H13" s="14">
        <v>0.91</v>
      </c>
      <c r="I13" s="13">
        <v>1677075.8133333335</v>
      </c>
      <c r="J13" s="15">
        <v>8</v>
      </c>
      <c r="K13" s="13">
        <v>66382724.403333418</v>
      </c>
      <c r="L13" s="13">
        <v>4442027.8637500107</v>
      </c>
      <c r="M13" s="13">
        <v>3058805.7387500107</v>
      </c>
      <c r="N13" s="179">
        <v>43647</v>
      </c>
      <c r="O13" s="16">
        <v>45839</v>
      </c>
      <c r="P13" s="13">
        <v>2259442.2599999998</v>
      </c>
      <c r="Q13" s="222" t="e">
        <v>#VALUE!</v>
      </c>
    </row>
    <row r="14" spans="1:17" x14ac:dyDescent="0.2">
      <c r="A14" s="4" t="s">
        <v>35</v>
      </c>
      <c r="B14" s="13">
        <v>794219275</v>
      </c>
      <c r="C14" s="13">
        <v>726597794.80999994</v>
      </c>
      <c r="D14" s="13">
        <v>67621480.190000057</v>
      </c>
      <c r="E14" s="13">
        <v>13089193.710000001</v>
      </c>
      <c r="F14" s="13">
        <v>19107637</v>
      </c>
      <c r="G14" s="14">
        <v>3.54</v>
      </c>
      <c r="H14" s="14">
        <v>0.69</v>
      </c>
      <c r="I14" s="13">
        <v>1090766.1425000001</v>
      </c>
      <c r="J14" s="15">
        <v>8</v>
      </c>
      <c r="K14" s="13">
        <v>58895351.050000057</v>
      </c>
      <c r="L14" s="13">
        <v>3675775.7737500072</v>
      </c>
      <c r="M14" s="13">
        <v>2481548.4612500072</v>
      </c>
      <c r="N14" s="179">
        <v>43647</v>
      </c>
      <c r="O14" s="16">
        <v>45839</v>
      </c>
      <c r="P14" s="13">
        <v>859930.17</v>
      </c>
      <c r="Q14" s="222" t="e">
        <v>#VALUE!</v>
      </c>
    </row>
    <row r="15" spans="1:17" x14ac:dyDescent="0.2">
      <c r="A15" s="4" t="s">
        <v>25</v>
      </c>
      <c r="B15" s="13">
        <v>265120500</v>
      </c>
      <c r="C15" s="13">
        <v>243313245.97999999</v>
      </c>
      <c r="D15" s="13">
        <v>21807254.020000011</v>
      </c>
      <c r="E15" s="13">
        <v>9431535.2599999998</v>
      </c>
      <c r="F15" s="13">
        <v>6172506</v>
      </c>
      <c r="G15" s="14">
        <v>3.53</v>
      </c>
      <c r="H15" s="14">
        <v>1.53</v>
      </c>
      <c r="I15" s="13">
        <v>785961.27166666661</v>
      </c>
      <c r="J15" s="15">
        <v>5</v>
      </c>
      <c r="K15" s="13">
        <v>17877447.661666676</v>
      </c>
      <c r="L15" s="13">
        <v>1892448.4040000022</v>
      </c>
      <c r="M15" s="13">
        <v>1275197.8040000021</v>
      </c>
      <c r="N15" s="179">
        <v>43922</v>
      </c>
      <c r="O15" s="16">
        <v>45748</v>
      </c>
      <c r="P15" s="13">
        <v>556669.29</v>
      </c>
      <c r="Q15" s="222" t="e">
        <v>#VALUE!</v>
      </c>
    </row>
    <row r="16" spans="1:17" x14ac:dyDescent="0.2">
      <c r="A16" s="4" t="s">
        <v>39</v>
      </c>
      <c r="B16" s="13">
        <v>500565228.91000003</v>
      </c>
      <c r="C16" s="13">
        <v>463567009.80000001</v>
      </c>
      <c r="D16" s="13">
        <v>36998219.110000014</v>
      </c>
      <c r="E16" s="13">
        <v>5367707.12</v>
      </c>
      <c r="F16" s="13">
        <v>10539100</v>
      </c>
      <c r="G16" s="14">
        <v>3.51</v>
      </c>
      <c r="H16" s="14">
        <v>0.51</v>
      </c>
      <c r="I16" s="13">
        <v>447308.9266666667</v>
      </c>
      <c r="J16" s="15">
        <v>8</v>
      </c>
      <c r="K16" s="13">
        <v>33419747.69666668</v>
      </c>
      <c r="L16" s="13">
        <v>1990002.3887500018</v>
      </c>
      <c r="M16" s="13">
        <v>1331308.6387500018</v>
      </c>
      <c r="N16" s="179">
        <v>43647</v>
      </c>
      <c r="O16" s="16">
        <v>45839</v>
      </c>
      <c r="P16" s="13">
        <v>638166.47</v>
      </c>
      <c r="Q16" s="222" t="e">
        <v>#VALUE!</v>
      </c>
    </row>
    <row r="17" spans="1:17" x14ac:dyDescent="0.2">
      <c r="A17" s="4" t="s">
        <v>40</v>
      </c>
      <c r="B17" s="13">
        <v>203184695.25999999</v>
      </c>
      <c r="C17" s="13">
        <v>183381620.25999999</v>
      </c>
      <c r="D17" s="13">
        <v>19803075</v>
      </c>
      <c r="E17" s="13">
        <v>7558040.54</v>
      </c>
      <c r="F17" s="13">
        <v>5655134</v>
      </c>
      <c r="G17" s="14">
        <v>3.5</v>
      </c>
      <c r="H17" s="14">
        <v>1.34</v>
      </c>
      <c r="I17" s="13">
        <v>629836.71166666667</v>
      </c>
      <c r="J17" s="15">
        <v>8</v>
      </c>
      <c r="K17" s="13">
        <v>14764381.306666667</v>
      </c>
      <c r="L17" s="13">
        <v>1061600.875</v>
      </c>
      <c r="M17" s="13">
        <v>708155</v>
      </c>
      <c r="N17" s="179">
        <v>43647</v>
      </c>
      <c r="O17" s="16">
        <v>45839</v>
      </c>
      <c r="P17" s="13">
        <v>0</v>
      </c>
      <c r="Q17" s="222" t="e">
        <v>#VALUE!</v>
      </c>
    </row>
    <row r="18" spans="1:17" x14ac:dyDescent="0.2">
      <c r="A18" s="4" t="s">
        <v>34</v>
      </c>
      <c r="B18" s="13">
        <v>1438428739.9100001</v>
      </c>
      <c r="C18" s="13">
        <v>1335014631.53</v>
      </c>
      <c r="D18" s="13">
        <v>103414108.38000011</v>
      </c>
      <c r="E18" s="13">
        <v>29676759.07</v>
      </c>
      <c r="F18" s="13">
        <v>30065955</v>
      </c>
      <c r="G18" s="14">
        <v>3.44</v>
      </c>
      <c r="H18" s="14">
        <v>0.99</v>
      </c>
      <c r="I18" s="13">
        <v>2473063.2558333334</v>
      </c>
      <c r="J18" s="15">
        <v>8</v>
      </c>
      <c r="K18" s="13">
        <v>83629602.333333448</v>
      </c>
      <c r="L18" s="13">
        <v>5410274.7975000143</v>
      </c>
      <c r="M18" s="13">
        <v>3531152.6100000143</v>
      </c>
      <c r="N18" s="179">
        <v>43647</v>
      </c>
      <c r="O18" s="16">
        <v>45839</v>
      </c>
      <c r="P18" s="13">
        <v>3256973.92</v>
      </c>
      <c r="Q18" s="222" t="e">
        <v>#VALUE!</v>
      </c>
    </row>
    <row r="19" spans="1:17" x14ac:dyDescent="0.2">
      <c r="A19" s="4" t="s">
        <v>47</v>
      </c>
      <c r="B19" s="13">
        <v>104394118</v>
      </c>
      <c r="C19" s="13">
        <v>95629751.219999999</v>
      </c>
      <c r="D19" s="13">
        <v>8764366.7800000012</v>
      </c>
      <c r="E19" s="13">
        <v>1163641.6299999999</v>
      </c>
      <c r="F19" s="13">
        <v>2677355</v>
      </c>
      <c r="G19" s="14">
        <v>3.27</v>
      </c>
      <c r="H19" s="14">
        <v>0.43</v>
      </c>
      <c r="I19" s="13">
        <v>96970.135833333319</v>
      </c>
      <c r="J19" s="15">
        <v>8</v>
      </c>
      <c r="K19" s="13">
        <v>7988605.6933333343</v>
      </c>
      <c r="L19" s="13">
        <v>426207.09750000015</v>
      </c>
      <c r="M19" s="13">
        <v>258872.41000000015</v>
      </c>
      <c r="N19" s="179">
        <v>43647</v>
      </c>
      <c r="O19" s="16">
        <v>45839</v>
      </c>
      <c r="P19" s="13">
        <v>3561.52</v>
      </c>
      <c r="Q19" s="222" t="e">
        <v>#VALUE!</v>
      </c>
    </row>
    <row r="20" spans="1:17" x14ac:dyDescent="0.2">
      <c r="A20" s="4" t="s">
        <v>29</v>
      </c>
      <c r="B20" s="13">
        <v>800464324.92999995</v>
      </c>
      <c r="C20" s="13">
        <v>744166102.09000003</v>
      </c>
      <c r="D20" s="13">
        <v>56298222.839999914</v>
      </c>
      <c r="E20" s="13">
        <v>23935461.609999999</v>
      </c>
      <c r="F20" s="13">
        <v>17480755</v>
      </c>
      <c r="G20" s="14">
        <v>3.22</v>
      </c>
      <c r="H20" s="14">
        <v>1.37</v>
      </c>
      <c r="I20" s="13">
        <v>1994621.8008333333</v>
      </c>
      <c r="J20" s="15">
        <v>8</v>
      </c>
      <c r="K20" s="13">
        <v>40341248.433333248</v>
      </c>
      <c r="L20" s="13">
        <v>2667089.1049999893</v>
      </c>
      <c r="M20" s="13" t="s">
        <v>42</v>
      </c>
      <c r="N20" s="179">
        <v>43647</v>
      </c>
      <c r="O20" s="16">
        <v>45839</v>
      </c>
      <c r="P20" s="13">
        <v>1793902.84</v>
      </c>
      <c r="Q20" s="222" t="e">
        <v>#VALUE!</v>
      </c>
    </row>
    <row r="21" spans="1:17" x14ac:dyDescent="0.2">
      <c r="A21" s="4" t="s">
        <v>44</v>
      </c>
      <c r="B21" s="13">
        <v>300551063.33999997</v>
      </c>
      <c r="C21" s="13">
        <v>279295806.60000002</v>
      </c>
      <c r="D21" s="13">
        <v>21255256.73999995</v>
      </c>
      <c r="E21" s="13">
        <v>7291473.0800000001</v>
      </c>
      <c r="F21" s="13">
        <v>6730317</v>
      </c>
      <c r="G21" s="14">
        <v>3.16</v>
      </c>
      <c r="H21" s="14">
        <v>1.08</v>
      </c>
      <c r="I21" s="13">
        <v>607622.75666666671</v>
      </c>
      <c r="J21" s="15">
        <v>8</v>
      </c>
      <c r="K21" s="13">
        <v>16394274.686666615</v>
      </c>
      <c r="L21" s="13">
        <v>974327.84249999374</v>
      </c>
      <c r="M21" s="13" t="s">
        <v>42</v>
      </c>
      <c r="N21" s="179">
        <v>43647</v>
      </c>
      <c r="O21" s="16">
        <v>45839</v>
      </c>
      <c r="P21" s="13">
        <v>1030149.86</v>
      </c>
      <c r="Q21" s="222" t="e">
        <v>#VALUE!</v>
      </c>
    </row>
    <row r="22" spans="1:17" x14ac:dyDescent="0.2">
      <c r="A22" s="4" t="s">
        <v>30</v>
      </c>
      <c r="B22" s="13">
        <v>1022430792.45</v>
      </c>
      <c r="C22" s="13">
        <v>959833433.20000005</v>
      </c>
      <c r="D22" s="13">
        <v>62597359.25</v>
      </c>
      <c r="E22" s="13">
        <v>26574681.34</v>
      </c>
      <c r="F22" s="13">
        <v>19809810</v>
      </c>
      <c r="G22" s="14">
        <v>3.16</v>
      </c>
      <c r="H22" s="14">
        <v>1.34</v>
      </c>
      <c r="I22" s="13">
        <v>2214556.7783333333</v>
      </c>
      <c r="J22" s="15">
        <v>5</v>
      </c>
      <c r="K22" s="13">
        <v>51524575.358333334</v>
      </c>
      <c r="L22" s="13">
        <v>4595547.8499999996</v>
      </c>
      <c r="M22" s="13">
        <v>2614566.85</v>
      </c>
      <c r="N22" s="179">
        <v>43922</v>
      </c>
      <c r="O22" s="16">
        <v>45748</v>
      </c>
      <c r="P22" s="13">
        <v>3071493</v>
      </c>
      <c r="Q22" s="222" t="e">
        <v>#VALUE!</v>
      </c>
    </row>
    <row r="23" spans="1:17" x14ac:dyDescent="0.2">
      <c r="A23" s="4" t="s">
        <v>33</v>
      </c>
      <c r="B23" s="13">
        <v>1010324720</v>
      </c>
      <c r="C23" s="13">
        <v>941041897.05999994</v>
      </c>
      <c r="D23" s="13">
        <v>69282822.940000057</v>
      </c>
      <c r="E23" s="13">
        <v>24445253.059999999</v>
      </c>
      <c r="F23" s="13">
        <v>23059848</v>
      </c>
      <c r="G23" s="14">
        <v>3</v>
      </c>
      <c r="H23" s="14">
        <v>1.06</v>
      </c>
      <c r="I23" s="13">
        <v>2037104.4216666666</v>
      </c>
      <c r="J23" s="15">
        <v>5</v>
      </c>
      <c r="K23" s="13">
        <v>59097300.831666723</v>
      </c>
      <c r="L23" s="13">
        <v>4632625.3880000114</v>
      </c>
      <c r="M23" s="13">
        <v>2326640.5880000116</v>
      </c>
      <c r="N23" s="179">
        <v>43922</v>
      </c>
      <c r="O23" s="16">
        <v>45748</v>
      </c>
      <c r="P23" s="13">
        <v>2951557.65</v>
      </c>
      <c r="Q23" s="222" t="e">
        <v>#VALUE!</v>
      </c>
    </row>
    <row r="24" spans="1:17" x14ac:dyDescent="0.2">
      <c r="A24" s="4" t="s">
        <v>43</v>
      </c>
      <c r="B24" s="13">
        <v>254239457</v>
      </c>
      <c r="C24" s="13">
        <v>237912337.44999999</v>
      </c>
      <c r="D24" s="13">
        <v>16327119.550000012</v>
      </c>
      <c r="E24" s="13">
        <v>5862621.9900000002</v>
      </c>
      <c r="F24" s="13">
        <v>5680880</v>
      </c>
      <c r="G24" s="14">
        <v>2.87</v>
      </c>
      <c r="H24" s="14">
        <v>1.03</v>
      </c>
      <c r="I24" s="13">
        <v>488551.83250000002</v>
      </c>
      <c r="J24" s="15">
        <v>2</v>
      </c>
      <c r="K24" s="13">
        <v>15350015.885000013</v>
      </c>
      <c r="L24" s="13">
        <v>2482679.775000006</v>
      </c>
      <c r="M24" s="13">
        <v>1062459.775000006</v>
      </c>
      <c r="N24" s="179">
        <v>43831</v>
      </c>
      <c r="O24" s="16">
        <v>45658</v>
      </c>
      <c r="P24" s="13">
        <v>1300133.75</v>
      </c>
      <c r="Q24" s="222" t="e">
        <v>#VALUE!</v>
      </c>
    </row>
    <row r="25" spans="1:17" x14ac:dyDescent="0.2">
      <c r="A25" s="4" t="s">
        <v>45</v>
      </c>
      <c r="B25" s="13">
        <v>2001064841.29</v>
      </c>
      <c r="C25" s="13">
        <v>1887170439.47</v>
      </c>
      <c r="D25" s="13">
        <v>113894401.81999993</v>
      </c>
      <c r="E25" s="13">
        <v>37538741.939999998</v>
      </c>
      <c r="F25" s="13">
        <v>40779947</v>
      </c>
      <c r="G25" s="14">
        <v>2.79</v>
      </c>
      <c r="H25" s="14">
        <v>0.92</v>
      </c>
      <c r="I25" s="13">
        <v>3128228.4949999996</v>
      </c>
      <c r="J25" s="15">
        <v>2</v>
      </c>
      <c r="K25" s="13">
        <v>107637944.82999994</v>
      </c>
      <c r="L25" s="13">
        <v>16167253.909999967</v>
      </c>
      <c r="M25" s="13">
        <v>5972267.1599999666</v>
      </c>
      <c r="N25" s="179">
        <v>43831</v>
      </c>
      <c r="O25" s="16">
        <v>45658</v>
      </c>
      <c r="P25" s="13">
        <v>2572839.23</v>
      </c>
      <c r="Q25" s="222" t="e">
        <v>#VALUE!</v>
      </c>
    </row>
    <row r="26" spans="1:17" x14ac:dyDescent="0.2">
      <c r="A26" s="4" t="s">
        <v>36</v>
      </c>
      <c r="B26" s="13">
        <v>392634217.93000001</v>
      </c>
      <c r="C26" s="13">
        <v>367055677.97000003</v>
      </c>
      <c r="D26" s="13">
        <v>25578539.959999979</v>
      </c>
      <c r="E26" s="13">
        <v>15408537.050000001</v>
      </c>
      <c r="F26" s="13">
        <v>9305817</v>
      </c>
      <c r="G26" s="14">
        <v>2.75</v>
      </c>
      <c r="H26" s="14">
        <v>1.66</v>
      </c>
      <c r="I26" s="13">
        <v>1284044.7541666667</v>
      </c>
      <c r="J26" s="15">
        <v>5</v>
      </c>
      <c r="K26" s="13">
        <v>19158316.189166646</v>
      </c>
      <c r="L26" s="13">
        <v>1393381.1919999956</v>
      </c>
      <c r="M26" s="13" t="s">
        <v>42</v>
      </c>
      <c r="N26" s="179">
        <v>43556</v>
      </c>
      <c r="O26" s="16">
        <v>45748</v>
      </c>
      <c r="P26" s="13">
        <v>988526.22</v>
      </c>
      <c r="Q26" s="222" t="e">
        <v>#VALUE!</v>
      </c>
    </row>
    <row r="27" spans="1:17" x14ac:dyDescent="0.2">
      <c r="A27" s="4" t="s">
        <v>41</v>
      </c>
      <c r="B27" s="13">
        <v>1228777673.53</v>
      </c>
      <c r="C27" s="13">
        <v>1099274631.9300001</v>
      </c>
      <c r="D27" s="13">
        <v>129503041.5999999</v>
      </c>
      <c r="E27" s="13">
        <v>38636858.68</v>
      </c>
      <c r="F27" s="13">
        <v>47456120</v>
      </c>
      <c r="G27" s="14">
        <v>2.73</v>
      </c>
      <c r="H27" s="14">
        <v>0.81</v>
      </c>
      <c r="I27" s="13">
        <v>3219738.2233333332</v>
      </c>
      <c r="J27" s="15">
        <v>2</v>
      </c>
      <c r="K27" s="13">
        <v>123063565.15333323</v>
      </c>
      <c r="L27" s="13">
        <v>17295400.799999952</v>
      </c>
      <c r="M27" s="13">
        <v>5431370.7999999523</v>
      </c>
      <c r="N27" s="179">
        <v>43831</v>
      </c>
      <c r="O27" s="16">
        <v>45658</v>
      </c>
      <c r="P27" s="13">
        <v>3097941.81</v>
      </c>
      <c r="Q27" s="222" t="e">
        <v>#VALUE!</v>
      </c>
    </row>
    <row r="28" spans="1:17" x14ac:dyDescent="0.2">
      <c r="A28" s="4" t="s">
        <v>51</v>
      </c>
      <c r="B28" s="13">
        <v>1059732308</v>
      </c>
      <c r="C28" s="13">
        <v>995197545.69000006</v>
      </c>
      <c r="D28" s="13">
        <v>64534762.309999943</v>
      </c>
      <c r="E28" s="13">
        <v>20297488.66</v>
      </c>
      <c r="F28" s="13">
        <v>24168777</v>
      </c>
      <c r="G28" s="14">
        <v>2.67</v>
      </c>
      <c r="H28" s="14">
        <v>0.84</v>
      </c>
      <c r="I28" s="13">
        <v>1691457.3883333334</v>
      </c>
      <c r="J28" s="15">
        <v>2</v>
      </c>
      <c r="K28" s="13">
        <v>61151847.533333279</v>
      </c>
      <c r="L28" s="13">
        <v>8098604.1549999714</v>
      </c>
      <c r="M28" s="13">
        <v>2056409.9049999714</v>
      </c>
      <c r="N28" s="179">
        <v>43831</v>
      </c>
      <c r="O28" s="16">
        <v>45658</v>
      </c>
      <c r="P28" s="13">
        <v>2022258.07</v>
      </c>
      <c r="Q28" s="222" t="e">
        <v>#VALUE!</v>
      </c>
    </row>
    <row r="29" spans="1:17" x14ac:dyDescent="0.2">
      <c r="A29" s="4" t="s">
        <v>49</v>
      </c>
      <c r="B29" s="13">
        <v>1239472339.1700001</v>
      </c>
      <c r="C29" s="13">
        <v>1175361241.0999999</v>
      </c>
      <c r="D29" s="13">
        <v>64111098.070000172</v>
      </c>
      <c r="E29" s="13">
        <v>18382012.699999999</v>
      </c>
      <c r="F29" s="13">
        <v>24088947</v>
      </c>
      <c r="G29" s="14">
        <v>2.66</v>
      </c>
      <c r="H29" s="14">
        <v>0.76</v>
      </c>
      <c r="I29" s="13">
        <v>1531834.3916666666</v>
      </c>
      <c r="J29" s="15">
        <v>8</v>
      </c>
      <c r="K29" s="13">
        <v>51856422.936666839</v>
      </c>
      <c r="L29" s="13">
        <v>1991650.5087500215</v>
      </c>
      <c r="M29" s="13" t="s">
        <v>42</v>
      </c>
      <c r="N29" s="179">
        <v>43647</v>
      </c>
      <c r="O29" s="16">
        <v>45839</v>
      </c>
      <c r="P29" s="13">
        <v>1909977.64</v>
      </c>
      <c r="Q29" s="222" t="e">
        <v>#VALUE!</v>
      </c>
    </row>
    <row r="30" spans="1:17" x14ac:dyDescent="0.2">
      <c r="A30" s="4" t="s">
        <v>55</v>
      </c>
      <c r="B30" s="13">
        <v>675052951</v>
      </c>
      <c r="C30" s="13">
        <v>637392527.32000005</v>
      </c>
      <c r="D30" s="13">
        <v>37660423.679999948</v>
      </c>
      <c r="E30" s="13">
        <v>10539307.449999999</v>
      </c>
      <c r="F30" s="13">
        <v>14786581</v>
      </c>
      <c r="G30" s="14">
        <v>2.5499999999999998</v>
      </c>
      <c r="H30" s="14">
        <v>0.71</v>
      </c>
      <c r="I30" s="13">
        <v>878275.62083333323</v>
      </c>
      <c r="J30" s="15">
        <v>2</v>
      </c>
      <c r="K30" s="13">
        <v>35903872.43833328</v>
      </c>
      <c r="L30" s="13">
        <v>4043630.8399999738</v>
      </c>
      <c r="M30" s="13" t="s">
        <v>42</v>
      </c>
      <c r="N30" s="179">
        <v>43466</v>
      </c>
      <c r="O30" s="16">
        <v>45658</v>
      </c>
      <c r="P30" s="13">
        <v>3221499.08</v>
      </c>
      <c r="Q30" s="222" t="e">
        <v>#VALUE!</v>
      </c>
    </row>
    <row r="31" spans="1:17" x14ac:dyDescent="0.2">
      <c r="A31" s="4" t="s">
        <v>38</v>
      </c>
      <c r="B31" s="13">
        <v>528328839.02999997</v>
      </c>
      <c r="C31" s="13">
        <v>493153729.95999998</v>
      </c>
      <c r="D31" s="13">
        <v>35175109.069999993</v>
      </c>
      <c r="E31" s="13">
        <v>15100808.810000001</v>
      </c>
      <c r="F31" s="13">
        <v>13880022</v>
      </c>
      <c r="G31" s="14">
        <v>2.5299999999999998</v>
      </c>
      <c r="H31" s="14">
        <v>1.0900000000000001</v>
      </c>
      <c r="I31" s="13">
        <v>1258400.7341666666</v>
      </c>
      <c r="J31" s="15">
        <v>8</v>
      </c>
      <c r="K31" s="13">
        <v>25107903.196666658</v>
      </c>
      <c r="L31" s="13" t="s">
        <v>42</v>
      </c>
      <c r="M31" s="13" t="s">
        <v>42</v>
      </c>
      <c r="N31" s="179">
        <v>43647</v>
      </c>
      <c r="O31" s="16">
        <v>45839</v>
      </c>
      <c r="P31" s="13">
        <v>712878</v>
      </c>
      <c r="Q31" s="222" t="e">
        <v>#VALUE!</v>
      </c>
    </row>
    <row r="32" spans="1:17" x14ac:dyDescent="0.2">
      <c r="A32" s="4" t="s">
        <v>50</v>
      </c>
      <c r="B32" s="13">
        <v>1642297566.0699999</v>
      </c>
      <c r="C32" s="13">
        <v>1539830085.5799999</v>
      </c>
      <c r="D32" s="13">
        <v>102467480.49000001</v>
      </c>
      <c r="E32" s="13">
        <v>36202326.710000001</v>
      </c>
      <c r="F32" s="13">
        <v>40984884</v>
      </c>
      <c r="G32" s="14">
        <v>2.5</v>
      </c>
      <c r="H32" s="14">
        <v>0.88</v>
      </c>
      <c r="I32" s="13">
        <v>3016860.5591666666</v>
      </c>
      <c r="J32" s="15">
        <v>8</v>
      </c>
      <c r="K32" s="13">
        <v>78332596.016666681</v>
      </c>
      <c r="L32" s="13" t="s">
        <v>42</v>
      </c>
      <c r="M32" s="13" t="s">
        <v>42</v>
      </c>
      <c r="N32" s="179">
        <v>43647</v>
      </c>
      <c r="O32" s="16">
        <v>45839</v>
      </c>
      <c r="P32" s="13">
        <v>5201204.8099999996</v>
      </c>
      <c r="Q32" s="222" t="e">
        <v>#VALUE!</v>
      </c>
    </row>
    <row r="33" spans="1:17" x14ac:dyDescent="0.2">
      <c r="A33" s="4" t="s">
        <v>46</v>
      </c>
      <c r="B33" s="13">
        <v>314446387.48000002</v>
      </c>
      <c r="C33" s="13">
        <v>293647342.92000002</v>
      </c>
      <c r="D33" s="13">
        <v>20799044.560000002</v>
      </c>
      <c r="E33" s="13">
        <v>9697497.1300000008</v>
      </c>
      <c r="F33" s="13">
        <v>8369791</v>
      </c>
      <c r="G33" s="14">
        <v>2.4900000000000002</v>
      </c>
      <c r="H33" s="14">
        <v>1.1599999999999999</v>
      </c>
      <c r="I33" s="13">
        <v>808124.76083333336</v>
      </c>
      <c r="J33" s="15">
        <v>8</v>
      </c>
      <c r="K33" s="13">
        <v>14334046.473333336</v>
      </c>
      <c r="L33" s="13" t="s">
        <v>42</v>
      </c>
      <c r="M33" s="13" t="s">
        <v>42</v>
      </c>
      <c r="N33" s="179">
        <v>43647</v>
      </c>
      <c r="O33" s="16">
        <v>45839</v>
      </c>
      <c r="P33" s="13">
        <v>1016407.37</v>
      </c>
      <c r="Q33" s="222" t="e">
        <v>#VALUE!</v>
      </c>
    </row>
    <row r="34" spans="1:17" x14ac:dyDescent="0.2">
      <c r="A34" s="4" t="s">
        <v>56</v>
      </c>
      <c r="B34" s="13">
        <v>1154905413</v>
      </c>
      <c r="C34" s="13">
        <v>1088852317.6900001</v>
      </c>
      <c r="D34" s="13">
        <v>66053095.309999943</v>
      </c>
      <c r="E34" s="13">
        <v>24085245.48</v>
      </c>
      <c r="F34" s="13">
        <v>27571438</v>
      </c>
      <c r="G34" s="14">
        <v>2.4</v>
      </c>
      <c r="H34" s="14">
        <v>0.87</v>
      </c>
      <c r="I34" s="13">
        <v>2007103.79</v>
      </c>
      <c r="J34" s="15">
        <v>8</v>
      </c>
      <c r="K34" s="13">
        <v>49996264.989999942</v>
      </c>
      <c r="L34" s="13" t="s">
        <v>42</v>
      </c>
      <c r="M34" s="13" t="s">
        <v>42</v>
      </c>
      <c r="N34" s="179">
        <v>43647</v>
      </c>
      <c r="O34" s="16">
        <v>45839</v>
      </c>
      <c r="P34" s="13">
        <v>1774001.09</v>
      </c>
      <c r="Q34" s="222" t="e">
        <v>#VALUE!</v>
      </c>
    </row>
    <row r="35" spans="1:17" x14ac:dyDescent="0.2">
      <c r="A35" s="4" t="s">
        <v>64</v>
      </c>
      <c r="B35" s="13">
        <v>346058940</v>
      </c>
      <c r="C35" s="13">
        <v>324497037.77999997</v>
      </c>
      <c r="D35" s="13">
        <v>21561902.220000029</v>
      </c>
      <c r="E35" s="13">
        <v>5914663.4900000002</v>
      </c>
      <c r="F35" s="13">
        <v>9353201</v>
      </c>
      <c r="G35" s="14">
        <v>2.31</v>
      </c>
      <c r="H35" s="14">
        <v>0.63</v>
      </c>
      <c r="I35" s="13">
        <v>492888.6241666667</v>
      </c>
      <c r="J35" s="15">
        <v>2</v>
      </c>
      <c r="K35" s="13">
        <v>20576124.971666694</v>
      </c>
      <c r="L35" s="13">
        <v>1427750.1100000143</v>
      </c>
      <c r="M35" s="13" t="s">
        <v>42</v>
      </c>
      <c r="N35" s="179">
        <v>43831</v>
      </c>
      <c r="O35" s="16">
        <v>45658</v>
      </c>
      <c r="P35" s="13">
        <v>562456.43000000005</v>
      </c>
      <c r="Q35" s="222" t="e">
        <v>#VALUE!</v>
      </c>
    </row>
    <row r="36" spans="1:17" x14ac:dyDescent="0.2">
      <c r="A36" s="4" t="s">
        <v>52</v>
      </c>
      <c r="B36" s="13">
        <v>522049097</v>
      </c>
      <c r="C36" s="13">
        <v>493330341.42000002</v>
      </c>
      <c r="D36" s="13">
        <v>28718755.579999983</v>
      </c>
      <c r="E36" s="13">
        <v>12277866.24</v>
      </c>
      <c r="F36" s="13">
        <v>13105608</v>
      </c>
      <c r="G36" s="14">
        <v>2.19</v>
      </c>
      <c r="H36" s="14">
        <v>0.94</v>
      </c>
      <c r="I36" s="13">
        <v>1023155.52</v>
      </c>
      <c r="J36" s="15">
        <v>8</v>
      </c>
      <c r="K36" s="13">
        <v>20533511.419999983</v>
      </c>
      <c r="L36" s="13" t="s">
        <v>42</v>
      </c>
      <c r="M36" s="13" t="s">
        <v>42</v>
      </c>
      <c r="N36" s="179">
        <v>43647</v>
      </c>
      <c r="O36" s="16">
        <v>45839</v>
      </c>
      <c r="P36" s="13">
        <v>471423.2</v>
      </c>
      <c r="Q36" s="222" t="e">
        <v>#VALUE!</v>
      </c>
    </row>
    <row r="37" spans="1:17" x14ac:dyDescent="0.2">
      <c r="A37" s="4" t="s">
        <v>53</v>
      </c>
      <c r="B37" s="13">
        <v>2879313105.54</v>
      </c>
      <c r="C37" s="13">
        <v>2733681400.5700002</v>
      </c>
      <c r="D37" s="13">
        <v>145631704.96999979</v>
      </c>
      <c r="E37" s="13">
        <v>79292575.920000002</v>
      </c>
      <c r="F37" s="13">
        <v>70613641</v>
      </c>
      <c r="G37" s="14">
        <v>2.06</v>
      </c>
      <c r="H37" s="14">
        <v>1.1200000000000001</v>
      </c>
      <c r="I37" s="13">
        <v>6607714.6600000001</v>
      </c>
      <c r="J37" s="15">
        <v>0</v>
      </c>
      <c r="K37" s="13">
        <v>145631704.96999979</v>
      </c>
      <c r="L37" s="13" t="s">
        <v>20</v>
      </c>
      <c r="M37" s="13" t="s">
        <v>42</v>
      </c>
      <c r="N37" s="179">
        <v>44075</v>
      </c>
      <c r="O37" s="16">
        <v>45536</v>
      </c>
      <c r="P37" s="13">
        <v>8024463.6900000004</v>
      </c>
      <c r="Q37" s="222" t="e">
        <v>#VALUE!</v>
      </c>
    </row>
    <row r="38" spans="1:17" x14ac:dyDescent="0.2">
      <c r="A38" s="4" t="s">
        <v>60</v>
      </c>
      <c r="B38" s="13">
        <v>342887810.45999998</v>
      </c>
      <c r="C38" s="13">
        <v>326028321.44999999</v>
      </c>
      <c r="D38" s="13">
        <v>16859489.00999999</v>
      </c>
      <c r="E38" s="13">
        <v>7826587.71</v>
      </c>
      <c r="F38" s="13">
        <v>8236180</v>
      </c>
      <c r="G38" s="14">
        <v>2.0499999999999998</v>
      </c>
      <c r="H38" s="14">
        <v>0.95</v>
      </c>
      <c r="I38" s="13">
        <v>652215.64249999996</v>
      </c>
      <c r="J38" s="15">
        <v>5</v>
      </c>
      <c r="K38" s="13">
        <v>13598410.79749999</v>
      </c>
      <c r="L38" s="13" t="s">
        <v>42</v>
      </c>
      <c r="M38" s="13" t="s">
        <v>42</v>
      </c>
      <c r="N38" s="179">
        <v>43556</v>
      </c>
      <c r="O38" s="16">
        <v>45748</v>
      </c>
      <c r="P38" s="13">
        <v>774834.09</v>
      </c>
      <c r="Q38" s="222" t="e">
        <v>#VALUE!</v>
      </c>
    </row>
    <row r="39" spans="1:17" x14ac:dyDescent="0.2">
      <c r="A39" s="4" t="s">
        <v>61</v>
      </c>
      <c r="B39" s="13">
        <v>1085275104.5</v>
      </c>
      <c r="C39" s="13">
        <v>1039033664.51</v>
      </c>
      <c r="D39" s="13">
        <v>46241439.99000001</v>
      </c>
      <c r="E39" s="13">
        <v>22153908.989999998</v>
      </c>
      <c r="F39" s="13">
        <v>22858857</v>
      </c>
      <c r="G39" s="14">
        <v>2.02</v>
      </c>
      <c r="H39" s="14">
        <v>0.97</v>
      </c>
      <c r="I39" s="13">
        <v>1846159.0824999998</v>
      </c>
      <c r="J39" s="15">
        <v>5</v>
      </c>
      <c r="K39" s="13">
        <v>37010644.577500008</v>
      </c>
      <c r="L39" s="13" t="s">
        <v>42</v>
      </c>
      <c r="M39" s="13" t="s">
        <v>42</v>
      </c>
      <c r="N39" s="179">
        <v>43556</v>
      </c>
      <c r="O39" s="16">
        <v>45748</v>
      </c>
      <c r="P39" s="13">
        <v>2476876.71</v>
      </c>
      <c r="Q39" s="222" t="e">
        <v>#VALUE!</v>
      </c>
    </row>
    <row r="40" spans="1:17" x14ac:dyDescent="0.2">
      <c r="A40" s="4" t="s">
        <v>58</v>
      </c>
      <c r="B40" s="13">
        <v>1205115490</v>
      </c>
      <c r="C40" s="13">
        <v>1160109138.8099999</v>
      </c>
      <c r="D40" s="13">
        <v>45006351.190000057</v>
      </c>
      <c r="E40" s="13">
        <v>22935563.460000001</v>
      </c>
      <c r="F40" s="13">
        <v>22499042</v>
      </c>
      <c r="G40" s="14">
        <v>2</v>
      </c>
      <c r="H40" s="14">
        <v>1.02</v>
      </c>
      <c r="I40" s="13">
        <v>1911296.9550000001</v>
      </c>
      <c r="J40" s="15">
        <v>5</v>
      </c>
      <c r="K40" s="13">
        <v>35449866.415000059</v>
      </c>
      <c r="L40" s="13" t="s">
        <v>42</v>
      </c>
      <c r="M40" s="13" t="s">
        <v>42</v>
      </c>
      <c r="N40" s="179">
        <v>43922</v>
      </c>
      <c r="O40" s="16">
        <v>45748</v>
      </c>
      <c r="P40" s="13">
        <v>2024535.4</v>
      </c>
      <c r="Q40" s="222" t="e">
        <v>#VALUE!</v>
      </c>
    </row>
    <row r="41" spans="1:17" x14ac:dyDescent="0.2">
      <c r="A41" s="4" t="s">
        <v>63</v>
      </c>
      <c r="B41" s="13">
        <v>1309738768.5599999</v>
      </c>
      <c r="C41" s="13">
        <v>1248727666.6099999</v>
      </c>
      <c r="D41" s="13">
        <v>61011101.950000048</v>
      </c>
      <c r="E41" s="13">
        <v>26558193.039999999</v>
      </c>
      <c r="F41" s="13">
        <v>30738746</v>
      </c>
      <c r="G41" s="14">
        <v>1.98</v>
      </c>
      <c r="H41" s="14">
        <v>0.86</v>
      </c>
      <c r="I41" s="13">
        <v>2213182.7533333334</v>
      </c>
      <c r="J41" s="15">
        <v>8</v>
      </c>
      <c r="K41" s="13">
        <v>43305639.923333377</v>
      </c>
      <c r="L41" s="13" t="s">
        <v>42</v>
      </c>
      <c r="M41" s="13" t="s">
        <v>42</v>
      </c>
      <c r="N41" s="179">
        <v>43647</v>
      </c>
      <c r="O41" s="16">
        <v>45839</v>
      </c>
      <c r="P41" s="13">
        <v>3168474.21</v>
      </c>
      <c r="Q41" s="222" t="e">
        <v>#VALUE!</v>
      </c>
    </row>
    <row r="42" spans="1:17" x14ac:dyDescent="0.2">
      <c r="A42" s="4" t="s">
        <v>48</v>
      </c>
      <c r="B42" s="13">
        <v>545409679.30999994</v>
      </c>
      <c r="C42" s="13">
        <v>522805333.25</v>
      </c>
      <c r="D42" s="13">
        <v>22604346.059999943</v>
      </c>
      <c r="E42" s="13">
        <v>14064194.939999999</v>
      </c>
      <c r="F42" s="13">
        <v>11656242</v>
      </c>
      <c r="G42" s="14">
        <v>1.94</v>
      </c>
      <c r="H42" s="14">
        <v>1.21</v>
      </c>
      <c r="I42" s="13">
        <v>1172016.2449999999</v>
      </c>
      <c r="J42" s="15">
        <v>2</v>
      </c>
      <c r="K42" s="13">
        <v>20260313.569999944</v>
      </c>
      <c r="L42" s="13" t="s">
        <v>42</v>
      </c>
      <c r="M42" s="13" t="s">
        <v>42</v>
      </c>
      <c r="N42" s="179">
        <v>43831</v>
      </c>
      <c r="O42" s="16">
        <v>45658</v>
      </c>
      <c r="P42" s="13">
        <v>2233685.0099999998</v>
      </c>
      <c r="Q42" s="222" t="e">
        <v>#VALUE!</v>
      </c>
    </row>
    <row r="43" spans="1:17" x14ac:dyDescent="0.2">
      <c r="A43" s="4" t="s">
        <v>57</v>
      </c>
      <c r="B43" s="13">
        <v>98701064</v>
      </c>
      <c r="C43" s="13">
        <v>93172844.109999999</v>
      </c>
      <c r="D43" s="13">
        <v>5528219.8900000006</v>
      </c>
      <c r="E43" s="13">
        <v>3356175.21</v>
      </c>
      <c r="F43" s="13">
        <v>2898567</v>
      </c>
      <c r="G43" s="14">
        <v>1.91</v>
      </c>
      <c r="H43" s="14">
        <v>1.1599999999999999</v>
      </c>
      <c r="I43" s="13">
        <v>279681.26750000002</v>
      </c>
      <c r="J43" s="15">
        <v>8</v>
      </c>
      <c r="K43" s="13">
        <v>3290769.7500000005</v>
      </c>
      <c r="L43" s="13" t="s">
        <v>42</v>
      </c>
      <c r="M43" s="13" t="s">
        <v>42</v>
      </c>
      <c r="N43" s="179">
        <v>43647</v>
      </c>
      <c r="O43" s="16">
        <v>45839</v>
      </c>
      <c r="P43" s="13">
        <v>26098.9</v>
      </c>
      <c r="Q43" s="222" t="e">
        <v>#VALUE!</v>
      </c>
    </row>
    <row r="44" spans="1:17" x14ac:dyDescent="0.2">
      <c r="A44" s="4" t="s">
        <v>54</v>
      </c>
      <c r="B44" s="13">
        <v>1394382977.99</v>
      </c>
      <c r="C44" s="13">
        <v>1331892941.28</v>
      </c>
      <c r="D44" s="13">
        <v>62490036.710000038</v>
      </c>
      <c r="E44" s="13">
        <v>44670837.630000003</v>
      </c>
      <c r="F44" s="13">
        <v>34869850</v>
      </c>
      <c r="G44" s="14">
        <v>1.79</v>
      </c>
      <c r="H44" s="14">
        <v>1.28</v>
      </c>
      <c r="I44" s="13">
        <v>3722569.8025000002</v>
      </c>
      <c r="J44" s="15">
        <v>5</v>
      </c>
      <c r="K44" s="13">
        <v>43877187.697500035</v>
      </c>
      <c r="L44" s="13" t="s">
        <v>42</v>
      </c>
      <c r="M44" s="13" t="s">
        <v>42</v>
      </c>
      <c r="N44" s="179">
        <v>43922</v>
      </c>
      <c r="O44" s="16">
        <v>45748</v>
      </c>
      <c r="P44" s="13">
        <v>1870923.93</v>
      </c>
      <c r="Q44" s="222" t="e">
        <v>#VALUE!</v>
      </c>
    </row>
    <row r="45" spans="1:17" x14ac:dyDescent="0.2">
      <c r="A45" s="4" t="s">
        <v>67</v>
      </c>
      <c r="B45" s="13">
        <v>1082941284</v>
      </c>
      <c r="C45" s="13">
        <v>1034980553.0599999</v>
      </c>
      <c r="D45" s="13">
        <v>47960730.940000057</v>
      </c>
      <c r="E45" s="13">
        <v>23089091.039999999</v>
      </c>
      <c r="F45" s="13">
        <v>27168342</v>
      </c>
      <c r="G45" s="14">
        <v>1.77</v>
      </c>
      <c r="H45" s="14">
        <v>0.85</v>
      </c>
      <c r="I45" s="13">
        <v>1924090.92</v>
      </c>
      <c r="J45" s="15">
        <v>5</v>
      </c>
      <c r="K45" s="13">
        <v>38340276.340000056</v>
      </c>
      <c r="L45" s="13" t="s">
        <v>42</v>
      </c>
      <c r="M45" s="13" t="s">
        <v>42</v>
      </c>
      <c r="N45" s="179">
        <v>43922</v>
      </c>
      <c r="O45" s="16">
        <v>45748</v>
      </c>
      <c r="P45" s="13">
        <v>864621.15</v>
      </c>
      <c r="Q45" s="222" t="e">
        <v>#VALUE!</v>
      </c>
    </row>
    <row r="46" spans="1:17" x14ac:dyDescent="0.2">
      <c r="A46" s="4" t="s">
        <v>59</v>
      </c>
      <c r="B46" s="13">
        <v>277600986</v>
      </c>
      <c r="C46" s="13">
        <v>264932742.03</v>
      </c>
      <c r="D46" s="13">
        <v>12668243.969999999</v>
      </c>
      <c r="E46" s="13">
        <v>9682308.5500000007</v>
      </c>
      <c r="F46" s="13">
        <v>7461397</v>
      </c>
      <c r="G46" s="14">
        <v>1.7</v>
      </c>
      <c r="H46" s="14">
        <v>1.3</v>
      </c>
      <c r="I46" s="13">
        <v>806859.0458333334</v>
      </c>
      <c r="J46" s="15">
        <v>8</v>
      </c>
      <c r="K46" s="13">
        <v>6213371.6033333316</v>
      </c>
      <c r="L46" s="13" t="s">
        <v>42</v>
      </c>
      <c r="M46" s="13" t="s">
        <v>42</v>
      </c>
      <c r="N46" s="179">
        <v>43647</v>
      </c>
      <c r="O46" s="16">
        <v>45839</v>
      </c>
      <c r="P46" s="13">
        <v>234601</v>
      </c>
      <c r="Q46" s="222" t="e">
        <v>#VALUE!</v>
      </c>
    </row>
    <row r="47" spans="1:17" x14ac:dyDescent="0.2">
      <c r="A47" s="4" t="s">
        <v>62</v>
      </c>
      <c r="B47" s="13">
        <v>685388676.61000001</v>
      </c>
      <c r="C47" s="13">
        <v>662489417.62</v>
      </c>
      <c r="D47" s="13">
        <v>22899258.99000001</v>
      </c>
      <c r="E47" s="13">
        <v>16483289.890000001</v>
      </c>
      <c r="F47" s="13">
        <v>13963452</v>
      </c>
      <c r="G47" s="14">
        <v>1.64</v>
      </c>
      <c r="H47" s="14">
        <v>1.18</v>
      </c>
      <c r="I47" s="13">
        <v>1373607.4908333335</v>
      </c>
      <c r="J47" s="15">
        <v>5</v>
      </c>
      <c r="K47" s="13">
        <v>16031221.535833342</v>
      </c>
      <c r="L47" s="13" t="s">
        <v>42</v>
      </c>
      <c r="M47" s="13" t="s">
        <v>42</v>
      </c>
      <c r="N47" s="179">
        <v>43922</v>
      </c>
      <c r="O47" s="16">
        <v>45748</v>
      </c>
      <c r="P47" s="13">
        <v>1219852.74</v>
      </c>
      <c r="Q47" s="222" t="e">
        <v>#VALUE!</v>
      </c>
    </row>
    <row r="48" spans="1:17" x14ac:dyDescent="0.2">
      <c r="A48" s="4" t="s">
        <v>66</v>
      </c>
      <c r="B48" s="13">
        <v>1940110596.77</v>
      </c>
      <c r="C48" s="13">
        <v>1865842527.4100001</v>
      </c>
      <c r="D48" s="13">
        <v>74268069.359999895</v>
      </c>
      <c r="E48" s="13">
        <v>41147780.590000004</v>
      </c>
      <c r="F48" s="13">
        <v>45492764</v>
      </c>
      <c r="G48" s="14">
        <v>1.63</v>
      </c>
      <c r="H48" s="14">
        <v>0.9</v>
      </c>
      <c r="I48" s="13">
        <v>3428981.7158333338</v>
      </c>
      <c r="J48" s="15">
        <v>8</v>
      </c>
      <c r="K48" s="13">
        <v>46836215.633333221</v>
      </c>
      <c r="L48" s="13" t="s">
        <v>42</v>
      </c>
      <c r="M48" s="13" t="s">
        <v>42</v>
      </c>
      <c r="N48" s="179">
        <v>43647</v>
      </c>
      <c r="O48" s="16">
        <v>45839</v>
      </c>
      <c r="P48" s="13">
        <v>5172912.22</v>
      </c>
      <c r="Q48" s="222" t="e">
        <v>#VALUE!</v>
      </c>
    </row>
    <row r="49" spans="1:17" x14ac:dyDescent="0.2">
      <c r="A49" s="4" t="s">
        <v>68</v>
      </c>
      <c r="B49" s="13">
        <v>497245980</v>
      </c>
      <c r="C49" s="13">
        <v>479658501.13999999</v>
      </c>
      <c r="D49" s="13">
        <v>17587478.860000014</v>
      </c>
      <c r="E49" s="13">
        <v>11142932.119999999</v>
      </c>
      <c r="F49" s="13">
        <v>11808636</v>
      </c>
      <c r="G49" s="14">
        <v>1.49</v>
      </c>
      <c r="H49" s="14">
        <v>0.94</v>
      </c>
      <c r="I49" s="13">
        <v>928577.67666666664</v>
      </c>
      <c r="J49" s="15">
        <v>2</v>
      </c>
      <c r="K49" s="13">
        <v>15730323.506666681</v>
      </c>
      <c r="L49" s="13" t="s">
        <v>42</v>
      </c>
      <c r="M49" s="13" t="s">
        <v>42</v>
      </c>
      <c r="N49" s="179">
        <v>43831</v>
      </c>
      <c r="O49" s="16">
        <v>45658</v>
      </c>
      <c r="P49" s="13">
        <v>1219149.31</v>
      </c>
      <c r="Q49" s="222" t="e">
        <v>#VALUE!</v>
      </c>
    </row>
    <row r="50" spans="1:17" x14ac:dyDescent="0.2">
      <c r="A50" s="4" t="s">
        <v>65</v>
      </c>
      <c r="B50" s="13">
        <v>389160034</v>
      </c>
      <c r="C50" s="13">
        <v>375316738.52999997</v>
      </c>
      <c r="D50" s="13">
        <v>13843295.470000029</v>
      </c>
      <c r="E50" s="13">
        <v>11822607.15</v>
      </c>
      <c r="F50" s="13">
        <v>10126728</v>
      </c>
      <c r="G50" s="14">
        <v>1.37</v>
      </c>
      <c r="H50" s="14">
        <v>1.17</v>
      </c>
      <c r="I50" s="13">
        <v>985217.26250000007</v>
      </c>
      <c r="J50" s="15">
        <v>8</v>
      </c>
      <c r="K50" s="13">
        <v>5961557.3700000281</v>
      </c>
      <c r="L50" s="13" t="s">
        <v>42</v>
      </c>
      <c r="M50" s="13" t="s">
        <v>42</v>
      </c>
      <c r="N50" s="179">
        <v>43647</v>
      </c>
      <c r="O50" s="16">
        <v>45839</v>
      </c>
      <c r="P50" s="13">
        <v>993600.58</v>
      </c>
      <c r="Q50" s="222" t="e">
        <v>#VALUE!</v>
      </c>
    </row>
    <row r="51" spans="1:17" x14ac:dyDescent="0.2">
      <c r="A51" s="4" t="s">
        <v>69</v>
      </c>
      <c r="B51" s="13">
        <v>238203233</v>
      </c>
      <c r="C51" s="13">
        <v>233410450.40000001</v>
      </c>
      <c r="D51" s="13">
        <v>4792782.599999994</v>
      </c>
      <c r="E51" s="13">
        <v>6962652.5099999998</v>
      </c>
      <c r="F51" s="13">
        <v>5501208</v>
      </c>
      <c r="G51" s="14">
        <v>0.87</v>
      </c>
      <c r="H51" s="14">
        <v>1.27</v>
      </c>
      <c r="I51" s="13">
        <v>580221.04249999998</v>
      </c>
      <c r="J51" s="15">
        <v>8</v>
      </c>
      <c r="K51" s="13">
        <v>151014.25999999419</v>
      </c>
      <c r="L51" s="13" t="s">
        <v>42</v>
      </c>
      <c r="M51" s="13" t="s">
        <v>42</v>
      </c>
      <c r="N51" s="179">
        <v>43647</v>
      </c>
      <c r="O51" s="16">
        <v>45839</v>
      </c>
      <c r="P51" s="13">
        <v>6696.23</v>
      </c>
      <c r="Q51" s="222" t="e">
        <v>#VALUE!</v>
      </c>
    </row>
    <row r="52" spans="1:17" x14ac:dyDescent="0.2">
      <c r="A52" s="4" t="s">
        <v>70</v>
      </c>
      <c r="B52" s="13">
        <v>75470621</v>
      </c>
      <c r="C52" s="13">
        <v>73471996.040000007</v>
      </c>
      <c r="D52" s="18">
        <v>1998624.9599999934</v>
      </c>
      <c r="E52" s="13">
        <v>2841296.09</v>
      </c>
      <c r="F52" s="13">
        <v>2752623</v>
      </c>
      <c r="G52" s="14">
        <v>0.73</v>
      </c>
      <c r="H52" s="14">
        <v>1.03</v>
      </c>
      <c r="I52" s="18">
        <v>236774.67416666666</v>
      </c>
      <c r="J52" s="15">
        <v>8</v>
      </c>
      <c r="K52" s="18">
        <v>104427.56666666013</v>
      </c>
      <c r="L52" s="18" t="s">
        <v>42</v>
      </c>
      <c r="M52" s="18" t="s">
        <v>42</v>
      </c>
      <c r="N52" s="180">
        <v>43647</v>
      </c>
      <c r="O52" s="16">
        <v>45839</v>
      </c>
      <c r="P52" s="13">
        <v>293376.93</v>
      </c>
      <c r="Q52" s="222" t="e">
        <v>#VALUE!</v>
      </c>
    </row>
    <row r="53" spans="1:17" x14ac:dyDescent="0.25">
      <c r="A53" s="34" t="s">
        <v>71</v>
      </c>
      <c r="B53" s="31">
        <v>43056918036.709999</v>
      </c>
      <c r="C53" s="13">
        <v>40217182099.949997</v>
      </c>
      <c r="D53" s="31">
        <v>2839735936.7600021</v>
      </c>
      <c r="E53" s="13">
        <v>933011569.75999999</v>
      </c>
      <c r="F53" s="13">
        <v>981907757</v>
      </c>
      <c r="G53" s="14">
        <v>2.89</v>
      </c>
      <c r="H53" s="14">
        <v>0.95</v>
      </c>
      <c r="I53" s="31">
        <v>77750964.146666661</v>
      </c>
      <c r="J53" s="32"/>
      <c r="K53" s="33"/>
      <c r="L53" s="33"/>
      <c r="M53" s="33"/>
      <c r="N53" s="33"/>
      <c r="O53" s="33"/>
      <c r="P53" s="31">
        <v>102034014.30000001</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29</v>
      </c>
      <c r="H56" s="25"/>
    </row>
    <row r="57" spans="1:17" ht="27" customHeight="1" thickBot="1" x14ac:dyDescent="0.3">
      <c r="D57" s="228" t="s">
        <v>73</v>
      </c>
      <c r="E57" s="229"/>
      <c r="F57" s="229"/>
      <c r="G57" s="27"/>
      <c r="H57" s="28">
        <v>29</v>
      </c>
    </row>
  </sheetData>
  <mergeCells count="2">
    <mergeCell ref="D56:F56"/>
    <mergeCell ref="D57:F57"/>
  </mergeCells>
  <conditionalFormatting sqref="G54">
    <cfRule type="cellIs" dxfId="195" priority="13" stopIfTrue="1" operator="greaterThan">
      <formula>2.5</formula>
    </cfRule>
    <cfRule type="cellIs" dxfId="194" priority="14" stopIfTrue="1" operator="between">
      <formula>2.01</formula>
      <formula>2.5</formula>
    </cfRule>
  </conditionalFormatting>
  <conditionalFormatting sqref="H3:H53">
    <cfRule type="cellIs" dxfId="193" priority="12" stopIfTrue="1" operator="lessThan">
      <formula>1</formula>
    </cfRule>
  </conditionalFormatting>
  <conditionalFormatting sqref="G3:G53">
    <cfRule type="cellIs" dxfId="192" priority="10" stopIfTrue="1" operator="greaterThan">
      <formula>2.5</formula>
    </cfRule>
    <cfRule type="cellIs" dxfId="191" priority="11" stopIfTrue="1" operator="between">
      <formula>2.01</formula>
      <formula>2.5</formula>
    </cfRule>
  </conditionalFormatting>
  <conditionalFormatting sqref="K3:K52">
    <cfRule type="cellIs" dxfId="190" priority="8" stopIfTrue="1" operator="greaterThan">
      <formula>$F3*2.5</formula>
    </cfRule>
    <cfRule type="cellIs" dxfId="189" priority="9" stopIfTrue="1" operator="between">
      <formula>$F3*2</formula>
      <formula>$F3*2.5</formula>
    </cfRule>
  </conditionalFormatting>
  <conditionalFormatting sqref="G54">
    <cfRule type="cellIs" dxfId="188" priority="6" stopIfTrue="1" operator="greaterThan">
      <formula>2.5</formula>
    </cfRule>
    <cfRule type="cellIs" dxfId="187" priority="7" stopIfTrue="1" operator="between">
      <formula>2.01</formula>
      <formula>2.5</formula>
    </cfRule>
  </conditionalFormatting>
  <conditionalFormatting sqref="H3:H53">
    <cfRule type="cellIs" dxfId="186" priority="5" stopIfTrue="1" operator="lessThan">
      <formula>1</formula>
    </cfRule>
  </conditionalFormatting>
  <conditionalFormatting sqref="G3:G53">
    <cfRule type="cellIs" dxfId="185" priority="3" stopIfTrue="1" operator="greaterThan">
      <formula>2.5</formula>
    </cfRule>
    <cfRule type="cellIs" dxfId="184" priority="4" stopIfTrue="1" operator="between">
      <formula>2.01</formula>
      <formula>2.5</formula>
    </cfRule>
  </conditionalFormatting>
  <conditionalFormatting sqref="K3:K52">
    <cfRule type="cellIs" dxfId="183" priority="1" stopIfTrue="1" operator="greaterThan">
      <formula>$F3*2.5</formula>
    </cfRule>
    <cfRule type="cellIs" dxfId="182"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7A77-6081-4FC9-9BE8-42D708D6B0E0}">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Q1" sqref="Q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customWidth="1"/>
    <col min="17" max="17" width="16.54296875" style="17" hidden="1" customWidth="1"/>
    <col min="18" max="16384" width="9.1796875" style="17"/>
  </cols>
  <sheetData>
    <row r="1" spans="1:17" s="8" customFormat="1" ht="18" x14ac:dyDescent="0.25">
      <c r="A1" s="4" t="s">
        <v>104</v>
      </c>
      <c r="B1" s="178" t="s">
        <v>105</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22</v>
      </c>
      <c r="B3" s="13">
        <v>722479384.32000005</v>
      </c>
      <c r="C3" s="13">
        <v>641752470.92999995</v>
      </c>
      <c r="D3" s="13">
        <v>80726913.390000105</v>
      </c>
      <c r="E3" s="13">
        <v>12998961.699999999</v>
      </c>
      <c r="F3" s="13">
        <v>13783001</v>
      </c>
      <c r="G3" s="14">
        <v>5.86</v>
      </c>
      <c r="H3" s="14">
        <v>0.94</v>
      </c>
      <c r="I3" s="13">
        <v>1083246.8083333333</v>
      </c>
      <c r="J3" s="15">
        <v>7</v>
      </c>
      <c r="K3" s="13">
        <v>73144185.731666774</v>
      </c>
      <c r="L3" s="13">
        <v>7594415.9128571581</v>
      </c>
      <c r="M3" s="13">
        <v>6609915.8414285863</v>
      </c>
      <c r="N3" s="179">
        <v>43647</v>
      </c>
      <c r="O3" s="16">
        <v>45839</v>
      </c>
      <c r="P3" s="13">
        <v>864347.56</v>
      </c>
      <c r="Q3" s="223" t="e">
        <v>#VALUE!</v>
      </c>
    </row>
    <row r="4" spans="1:17" x14ac:dyDescent="0.2">
      <c r="A4" s="4" t="s">
        <v>21</v>
      </c>
      <c r="B4" s="13">
        <v>1834758280.3599999</v>
      </c>
      <c r="C4" s="13">
        <v>1567576975.8</v>
      </c>
      <c r="D4" s="13">
        <v>267181304.55999994</v>
      </c>
      <c r="E4" s="13">
        <v>44088709.969999999</v>
      </c>
      <c r="F4" s="13">
        <v>46162390</v>
      </c>
      <c r="G4" s="14">
        <v>5.79</v>
      </c>
      <c r="H4" s="14">
        <v>0.96</v>
      </c>
      <c r="I4" s="13">
        <v>3674059.1641666666</v>
      </c>
      <c r="J4" s="15">
        <v>1</v>
      </c>
      <c r="K4" s="13">
        <v>263507245.39583328</v>
      </c>
      <c r="L4" s="13">
        <v>174856524.55999994</v>
      </c>
      <c r="M4" s="13">
        <v>151775329.55999994</v>
      </c>
      <c r="N4" s="179">
        <v>43831</v>
      </c>
      <c r="O4" s="16">
        <v>45658</v>
      </c>
      <c r="P4" s="13">
        <v>4859744.72</v>
      </c>
      <c r="Q4" s="222" t="e">
        <v>#VALUE!</v>
      </c>
    </row>
    <row r="5" spans="1:17" x14ac:dyDescent="0.2">
      <c r="A5" s="4" t="s">
        <v>24</v>
      </c>
      <c r="B5" s="13">
        <v>1503333344.97</v>
      </c>
      <c r="C5" s="13">
        <v>1306747657.25</v>
      </c>
      <c r="D5" s="13">
        <v>196585687.72000003</v>
      </c>
      <c r="E5" s="13">
        <v>14248870.279999999</v>
      </c>
      <c r="F5" s="13">
        <v>34090474</v>
      </c>
      <c r="G5" s="14">
        <v>5.77</v>
      </c>
      <c r="H5" s="14">
        <v>0.42</v>
      </c>
      <c r="I5" s="13">
        <v>1187405.8566666667</v>
      </c>
      <c r="J5" s="15">
        <v>7</v>
      </c>
      <c r="K5" s="13">
        <v>188273846.72333336</v>
      </c>
      <c r="L5" s="13">
        <v>18343534.245714288</v>
      </c>
      <c r="M5" s="13">
        <v>15908500.388571432</v>
      </c>
      <c r="N5" s="179">
        <v>43647</v>
      </c>
      <c r="O5" s="16">
        <v>45839</v>
      </c>
      <c r="P5" s="13">
        <v>177017.27</v>
      </c>
      <c r="Q5" s="222" t="e">
        <v>#VALUE!</v>
      </c>
    </row>
    <row r="6" spans="1:17" x14ac:dyDescent="0.2">
      <c r="A6" s="4" t="s">
        <v>19</v>
      </c>
      <c r="B6" s="13">
        <v>1137390436.8499999</v>
      </c>
      <c r="C6" s="13">
        <v>1005254228.2</v>
      </c>
      <c r="D6" s="13">
        <v>132136208.64999986</v>
      </c>
      <c r="E6" s="13">
        <v>24079573.82</v>
      </c>
      <c r="F6" s="13">
        <v>24778539</v>
      </c>
      <c r="G6" s="14">
        <v>5.33</v>
      </c>
      <c r="H6" s="14">
        <v>0.97</v>
      </c>
      <c r="I6" s="13">
        <v>2006631.1516666666</v>
      </c>
      <c r="J6" s="15">
        <v>7</v>
      </c>
      <c r="K6" s="13">
        <v>118089790.58833319</v>
      </c>
      <c r="L6" s="13">
        <v>11797018.664285693</v>
      </c>
      <c r="M6" s="13">
        <v>10027123.021428552</v>
      </c>
      <c r="N6" s="179">
        <v>43647</v>
      </c>
      <c r="O6" s="16">
        <v>45839</v>
      </c>
      <c r="P6" s="13">
        <v>13301037.689999999</v>
      </c>
      <c r="Q6" s="222" t="e">
        <v>#VALUE!</v>
      </c>
    </row>
    <row r="7" spans="1:17" x14ac:dyDescent="0.2">
      <c r="A7" s="4" t="s">
        <v>26</v>
      </c>
      <c r="B7" s="13">
        <v>124445693.39</v>
      </c>
      <c r="C7" s="13">
        <v>105956369.59</v>
      </c>
      <c r="D7" s="13">
        <v>18489323.799999997</v>
      </c>
      <c r="E7" s="13">
        <v>1790964.17</v>
      </c>
      <c r="F7" s="13">
        <v>3545933</v>
      </c>
      <c r="G7" s="14">
        <v>5.21</v>
      </c>
      <c r="H7" s="14">
        <v>0.51</v>
      </c>
      <c r="I7" s="13">
        <v>149247.01416666666</v>
      </c>
      <c r="J7" s="15">
        <v>1</v>
      </c>
      <c r="K7" s="13">
        <v>18340076.785833329</v>
      </c>
      <c r="L7" s="13">
        <v>11397457.799999997</v>
      </c>
      <c r="M7" s="13">
        <v>9624491.299999997</v>
      </c>
      <c r="N7" s="179">
        <v>43831</v>
      </c>
      <c r="O7" s="16">
        <v>45658</v>
      </c>
      <c r="P7" s="13">
        <v>764280.63</v>
      </c>
      <c r="Q7" s="222" t="e">
        <v>#VALUE!</v>
      </c>
    </row>
    <row r="8" spans="1:17" x14ac:dyDescent="0.2">
      <c r="A8" s="4" t="s">
        <v>37</v>
      </c>
      <c r="B8" s="13">
        <v>190999038.36000001</v>
      </c>
      <c r="C8" s="13">
        <v>173974546.02000001</v>
      </c>
      <c r="D8" s="13">
        <v>17024492.340000004</v>
      </c>
      <c r="E8" s="13">
        <v>2511931.5499999998</v>
      </c>
      <c r="F8" s="13">
        <v>3551615</v>
      </c>
      <c r="G8" s="14">
        <v>4.79</v>
      </c>
      <c r="H8" s="14">
        <v>0.71</v>
      </c>
      <c r="I8" s="13">
        <v>209327.62916666665</v>
      </c>
      <c r="J8" s="15">
        <v>7</v>
      </c>
      <c r="K8" s="13">
        <v>15559198.935833337</v>
      </c>
      <c r="L8" s="13">
        <v>1417323.1914285719</v>
      </c>
      <c r="M8" s="13">
        <v>1163636.4057142863</v>
      </c>
      <c r="N8" s="179">
        <v>43647</v>
      </c>
      <c r="O8" s="16">
        <v>45839</v>
      </c>
      <c r="P8" s="13">
        <v>123573.57</v>
      </c>
      <c r="Q8" s="222" t="e">
        <v>#VALUE!</v>
      </c>
    </row>
    <row r="9" spans="1:17" x14ac:dyDescent="0.2">
      <c r="A9" s="4" t="s">
        <v>27</v>
      </c>
      <c r="B9" s="13">
        <v>872347192</v>
      </c>
      <c r="C9" s="13">
        <v>783186576.38</v>
      </c>
      <c r="D9" s="13">
        <v>89160615.620000005</v>
      </c>
      <c r="E9" s="13">
        <v>15867008.02</v>
      </c>
      <c r="F9" s="13">
        <v>19090913</v>
      </c>
      <c r="G9" s="14">
        <v>4.67</v>
      </c>
      <c r="H9" s="14">
        <v>0.83</v>
      </c>
      <c r="I9" s="13">
        <v>1322250.6683333332</v>
      </c>
      <c r="J9" s="15">
        <v>0</v>
      </c>
      <c r="K9" s="13">
        <v>89160615.620000005</v>
      </c>
      <c r="L9" s="13" t="s">
        <v>20</v>
      </c>
      <c r="M9" s="13" t="s">
        <v>20</v>
      </c>
      <c r="N9" s="179">
        <v>43739</v>
      </c>
      <c r="O9" s="16">
        <v>45566</v>
      </c>
      <c r="P9" s="13">
        <v>0</v>
      </c>
      <c r="Q9" s="222" t="e">
        <v>#VALUE!</v>
      </c>
    </row>
    <row r="10" spans="1:17" x14ac:dyDescent="0.2">
      <c r="A10" s="4" t="s">
        <v>28</v>
      </c>
      <c r="B10" s="13">
        <v>1966895481</v>
      </c>
      <c r="C10" s="13">
        <v>1866473342.22</v>
      </c>
      <c r="D10" s="13">
        <v>100422138.77999997</v>
      </c>
      <c r="E10" s="13">
        <v>19733876.309999999</v>
      </c>
      <c r="F10" s="13">
        <v>21788490</v>
      </c>
      <c r="G10" s="14">
        <v>4.6100000000000003</v>
      </c>
      <c r="H10" s="14">
        <v>0.91</v>
      </c>
      <c r="I10" s="13">
        <v>1644489.6924999999</v>
      </c>
      <c r="J10" s="15">
        <v>7</v>
      </c>
      <c r="K10" s="13">
        <v>88910710.932499975</v>
      </c>
      <c r="L10" s="13">
        <v>8120736.9685714245</v>
      </c>
      <c r="M10" s="13">
        <v>6564416.2542857099</v>
      </c>
      <c r="N10" s="179">
        <v>43647</v>
      </c>
      <c r="O10" s="16">
        <v>45839</v>
      </c>
      <c r="P10" s="13">
        <v>1165682.1299999999</v>
      </c>
      <c r="Q10" s="222" t="e">
        <v>#VALUE!</v>
      </c>
    </row>
    <row r="11" spans="1:17" x14ac:dyDescent="0.2">
      <c r="A11" s="4" t="s">
        <v>32</v>
      </c>
      <c r="B11" s="13">
        <v>1194130799.73</v>
      </c>
      <c r="C11" s="13">
        <v>1074529604.51</v>
      </c>
      <c r="D11" s="13">
        <v>119601195.22000003</v>
      </c>
      <c r="E11" s="13">
        <v>20625031.620000001</v>
      </c>
      <c r="F11" s="13">
        <v>25988523</v>
      </c>
      <c r="G11" s="14">
        <v>4.5999999999999996</v>
      </c>
      <c r="H11" s="14">
        <v>0.79</v>
      </c>
      <c r="I11" s="13">
        <v>1718752.635</v>
      </c>
      <c r="J11" s="15">
        <v>7</v>
      </c>
      <c r="K11" s="13">
        <v>107569926.77500004</v>
      </c>
      <c r="L11" s="13">
        <v>9660592.7457142901</v>
      </c>
      <c r="M11" s="13">
        <v>7804269.6742857182</v>
      </c>
      <c r="N11" s="179">
        <v>43647</v>
      </c>
      <c r="O11" s="16">
        <v>45839</v>
      </c>
      <c r="P11" s="13">
        <v>2417121.63</v>
      </c>
      <c r="Q11" s="222" t="e">
        <v>#VALUE!</v>
      </c>
    </row>
    <row r="12" spans="1:17" x14ac:dyDescent="0.2">
      <c r="A12" s="4" t="s">
        <v>39</v>
      </c>
      <c r="B12" s="13">
        <v>511163315.91000003</v>
      </c>
      <c r="C12" s="13">
        <v>464043381.81999999</v>
      </c>
      <c r="D12" s="13">
        <v>47119934.090000033</v>
      </c>
      <c r="E12" s="13">
        <v>5035092.16</v>
      </c>
      <c r="F12" s="13">
        <v>10598087</v>
      </c>
      <c r="G12" s="14">
        <v>4.45</v>
      </c>
      <c r="H12" s="14">
        <v>0.48</v>
      </c>
      <c r="I12" s="13">
        <v>419591.01333333337</v>
      </c>
      <c r="J12" s="15">
        <v>7</v>
      </c>
      <c r="K12" s="13">
        <v>44182796.9966667</v>
      </c>
      <c r="L12" s="13">
        <v>3703394.2985714334</v>
      </c>
      <c r="M12" s="13">
        <v>2946388.0842857189</v>
      </c>
      <c r="N12" s="179">
        <v>43647</v>
      </c>
      <c r="O12" s="16">
        <v>45839</v>
      </c>
      <c r="P12" s="13">
        <v>476372.02</v>
      </c>
      <c r="Q12" s="222" t="e">
        <v>#VALUE!</v>
      </c>
    </row>
    <row r="13" spans="1:17" x14ac:dyDescent="0.2">
      <c r="A13" s="4" t="s">
        <v>34</v>
      </c>
      <c r="B13" s="13">
        <v>1468177330.9100001</v>
      </c>
      <c r="C13" s="13">
        <v>1337029141.76</v>
      </c>
      <c r="D13" s="13">
        <v>131148189.1500001</v>
      </c>
      <c r="E13" s="13">
        <v>30243768.170000002</v>
      </c>
      <c r="F13" s="13">
        <v>29748591</v>
      </c>
      <c r="G13" s="14">
        <v>4.41</v>
      </c>
      <c r="H13" s="14">
        <v>1.02</v>
      </c>
      <c r="I13" s="13">
        <v>2520314.0141666667</v>
      </c>
      <c r="J13" s="15">
        <v>7</v>
      </c>
      <c r="K13" s="13">
        <v>113505991.05083343</v>
      </c>
      <c r="L13" s="13">
        <v>10235858.164285729</v>
      </c>
      <c r="M13" s="13">
        <v>8110958.8071428705</v>
      </c>
      <c r="N13" s="179">
        <v>43647</v>
      </c>
      <c r="O13" s="16">
        <v>45839</v>
      </c>
      <c r="P13" s="13">
        <v>2014510.23</v>
      </c>
      <c r="Q13" s="222" t="e">
        <v>#VALUE!</v>
      </c>
    </row>
    <row r="14" spans="1:17" x14ac:dyDescent="0.2">
      <c r="A14" s="4" t="s">
        <v>35</v>
      </c>
      <c r="B14" s="13">
        <v>813673223</v>
      </c>
      <c r="C14" s="13">
        <v>728335774.08000004</v>
      </c>
      <c r="D14" s="13">
        <v>85337448.919999957</v>
      </c>
      <c r="E14" s="13">
        <v>14199146.140000001</v>
      </c>
      <c r="F14" s="13">
        <v>19453948</v>
      </c>
      <c r="G14" s="14">
        <v>4.3899999999999997</v>
      </c>
      <c r="H14" s="14">
        <v>0.73</v>
      </c>
      <c r="I14" s="13">
        <v>1183262.1783333335</v>
      </c>
      <c r="J14" s="15">
        <v>7</v>
      </c>
      <c r="K14" s="13">
        <v>77054613.671666622</v>
      </c>
      <c r="L14" s="13">
        <v>6632793.2742857086</v>
      </c>
      <c r="M14" s="13">
        <v>5243225.559999994</v>
      </c>
      <c r="N14" s="179">
        <v>43647</v>
      </c>
      <c r="O14" s="16">
        <v>45839</v>
      </c>
      <c r="P14" s="13">
        <v>1737979.27</v>
      </c>
      <c r="Q14" s="222" t="e">
        <v>#VALUE!</v>
      </c>
    </row>
    <row r="15" spans="1:17" x14ac:dyDescent="0.2">
      <c r="A15" s="4" t="s">
        <v>47</v>
      </c>
      <c r="B15" s="13">
        <v>107063879</v>
      </c>
      <c r="C15" s="13">
        <v>95629751.219999999</v>
      </c>
      <c r="D15" s="13">
        <v>11434127.780000001</v>
      </c>
      <c r="E15" s="13">
        <v>1405624.62</v>
      </c>
      <c r="F15" s="13">
        <v>2669761</v>
      </c>
      <c r="G15" s="14">
        <v>4.28</v>
      </c>
      <c r="H15" s="14">
        <v>0.53</v>
      </c>
      <c r="I15" s="13">
        <v>117135.38500000001</v>
      </c>
      <c r="J15" s="15">
        <v>7</v>
      </c>
      <c r="K15" s="13">
        <v>10614180.085000001</v>
      </c>
      <c r="L15" s="13">
        <v>870657.96857142879</v>
      </c>
      <c r="M15" s="13">
        <v>679960.75428571447</v>
      </c>
      <c r="N15" s="179">
        <v>43647</v>
      </c>
      <c r="O15" s="16">
        <v>45839</v>
      </c>
      <c r="P15" s="13">
        <v>0</v>
      </c>
      <c r="Q15" s="222" t="e">
        <v>#VALUE!</v>
      </c>
    </row>
    <row r="16" spans="1:17" x14ac:dyDescent="0.2">
      <c r="A16" s="4" t="s">
        <v>23</v>
      </c>
      <c r="B16" s="13">
        <v>1336269126.0599999</v>
      </c>
      <c r="C16" s="13">
        <v>1218041941.28</v>
      </c>
      <c r="D16" s="13">
        <v>118227184.77999997</v>
      </c>
      <c r="E16" s="13">
        <v>40469978.909999996</v>
      </c>
      <c r="F16" s="13">
        <v>29074134</v>
      </c>
      <c r="G16" s="14">
        <v>4.07</v>
      </c>
      <c r="H16" s="14">
        <v>1.39</v>
      </c>
      <c r="I16" s="13">
        <v>3372498.2424999997</v>
      </c>
      <c r="J16" s="15">
        <v>1</v>
      </c>
      <c r="K16" s="13">
        <v>114854686.53749996</v>
      </c>
      <c r="L16" s="13">
        <v>60078916.779999971</v>
      </c>
      <c r="M16" s="13">
        <v>45541849.779999971</v>
      </c>
      <c r="N16" s="179">
        <v>43831</v>
      </c>
      <c r="O16" s="16">
        <v>45658</v>
      </c>
      <c r="P16" s="13">
        <v>3301801.01</v>
      </c>
      <c r="Q16" s="222" t="e">
        <v>#VALUE!</v>
      </c>
    </row>
    <row r="17" spans="1:17" x14ac:dyDescent="0.2">
      <c r="A17" s="4" t="s">
        <v>30</v>
      </c>
      <c r="B17" s="13">
        <v>1042589157.45</v>
      </c>
      <c r="C17" s="13">
        <v>961497438.20000005</v>
      </c>
      <c r="D17" s="13">
        <v>81091719.25</v>
      </c>
      <c r="E17" s="13">
        <v>24277339.34</v>
      </c>
      <c r="F17" s="13">
        <v>20158365</v>
      </c>
      <c r="G17" s="14">
        <v>4.0199999999999996</v>
      </c>
      <c r="H17" s="14">
        <v>1.2</v>
      </c>
      <c r="I17" s="13">
        <v>2023111.6116666666</v>
      </c>
      <c r="J17" s="15">
        <v>4</v>
      </c>
      <c r="K17" s="13">
        <v>72999272.803333327</v>
      </c>
      <c r="L17" s="13">
        <v>10193747.3125</v>
      </c>
      <c r="M17" s="13">
        <v>7673951.6875</v>
      </c>
      <c r="N17" s="179">
        <v>43922</v>
      </c>
      <c r="O17" s="16">
        <v>45748</v>
      </c>
      <c r="P17" s="13">
        <v>1664005</v>
      </c>
      <c r="Q17" s="222" t="e">
        <v>#VALUE!</v>
      </c>
    </row>
    <row r="18" spans="1:17" x14ac:dyDescent="0.2">
      <c r="A18" s="4" t="s">
        <v>33</v>
      </c>
      <c r="B18" s="13">
        <v>1033187132</v>
      </c>
      <c r="C18" s="13">
        <v>942388235.39999998</v>
      </c>
      <c r="D18" s="13">
        <v>90798896.600000024</v>
      </c>
      <c r="E18" s="13">
        <v>23636557.890000001</v>
      </c>
      <c r="F18" s="13">
        <v>22862412</v>
      </c>
      <c r="G18" s="14">
        <v>3.97</v>
      </c>
      <c r="H18" s="14">
        <v>1.03</v>
      </c>
      <c r="I18" s="13">
        <v>1969713.1575</v>
      </c>
      <c r="J18" s="15">
        <v>4</v>
      </c>
      <c r="K18" s="13">
        <v>82920043.970000029</v>
      </c>
      <c r="L18" s="13">
        <v>11268518.150000006</v>
      </c>
      <c r="M18" s="13">
        <v>8410716.650000006</v>
      </c>
      <c r="N18" s="179">
        <v>43922</v>
      </c>
      <c r="O18" s="16">
        <v>45748</v>
      </c>
      <c r="P18" s="13">
        <v>1346338.34</v>
      </c>
      <c r="Q18" s="222" t="e">
        <v>#VALUE!</v>
      </c>
    </row>
    <row r="19" spans="1:17" x14ac:dyDescent="0.2">
      <c r="A19" s="4" t="s">
        <v>31</v>
      </c>
      <c r="B19" s="13">
        <v>493558716</v>
      </c>
      <c r="C19" s="13">
        <v>452314766.25</v>
      </c>
      <c r="D19" s="13">
        <v>41243949.75</v>
      </c>
      <c r="E19" s="13">
        <v>9139061.6999999993</v>
      </c>
      <c r="F19" s="13">
        <v>11038481</v>
      </c>
      <c r="G19" s="14">
        <v>3.74</v>
      </c>
      <c r="H19" s="14">
        <v>0.83</v>
      </c>
      <c r="I19" s="13">
        <v>761588.47499999998</v>
      </c>
      <c r="J19" s="15">
        <v>1</v>
      </c>
      <c r="K19" s="13">
        <v>40482361.274999999</v>
      </c>
      <c r="L19" s="13">
        <v>19166987.75</v>
      </c>
      <c r="M19" s="13">
        <v>13647747.25</v>
      </c>
      <c r="N19" s="179">
        <v>43831</v>
      </c>
      <c r="O19" s="16">
        <v>45658</v>
      </c>
      <c r="P19" s="13">
        <v>1722557.92</v>
      </c>
      <c r="Q19" s="222" t="e">
        <v>#VALUE!</v>
      </c>
    </row>
    <row r="20" spans="1:17" x14ac:dyDescent="0.2">
      <c r="A20" s="4" t="s">
        <v>45</v>
      </c>
      <c r="B20" s="13">
        <v>2041893568.29</v>
      </c>
      <c r="C20" s="13">
        <v>1890516902.3699999</v>
      </c>
      <c r="D20" s="13">
        <v>151376665.92000008</v>
      </c>
      <c r="E20" s="13">
        <v>37416692.109999999</v>
      </c>
      <c r="F20" s="13">
        <v>40828727</v>
      </c>
      <c r="G20" s="14">
        <v>3.71</v>
      </c>
      <c r="H20" s="14">
        <v>0.92</v>
      </c>
      <c r="I20" s="13">
        <v>3118057.6758333333</v>
      </c>
      <c r="J20" s="15">
        <v>1</v>
      </c>
      <c r="K20" s="13">
        <v>148258608.24416673</v>
      </c>
      <c r="L20" s="13">
        <v>69719211.920000076</v>
      </c>
      <c r="M20" s="13">
        <v>49304848.420000076</v>
      </c>
      <c r="N20" s="179">
        <v>43831</v>
      </c>
      <c r="O20" s="16">
        <v>45658</v>
      </c>
      <c r="P20" s="13">
        <v>3346462.9</v>
      </c>
      <c r="Q20" s="222" t="e">
        <v>#VALUE!</v>
      </c>
    </row>
    <row r="21" spans="1:17" x14ac:dyDescent="0.2">
      <c r="A21" s="4" t="s">
        <v>41</v>
      </c>
      <c r="B21" s="13">
        <v>1276422533.53</v>
      </c>
      <c r="C21" s="13">
        <v>1102932177.95</v>
      </c>
      <c r="D21" s="13">
        <v>173490355.57999992</v>
      </c>
      <c r="E21" s="13">
        <v>41661654.729999997</v>
      </c>
      <c r="F21" s="13">
        <v>47644860</v>
      </c>
      <c r="G21" s="14">
        <v>3.64</v>
      </c>
      <c r="H21" s="14">
        <v>0.87</v>
      </c>
      <c r="I21" s="13">
        <v>3471804.5608333331</v>
      </c>
      <c r="J21" s="15">
        <v>1</v>
      </c>
      <c r="K21" s="13">
        <v>170018551.01916659</v>
      </c>
      <c r="L21" s="13">
        <v>78200635.579999924</v>
      </c>
      <c r="M21" s="13">
        <v>54378205.579999924</v>
      </c>
      <c r="N21" s="179">
        <v>43831</v>
      </c>
      <c r="O21" s="16">
        <v>45658</v>
      </c>
      <c r="P21" s="13">
        <v>3657546.02</v>
      </c>
      <c r="Q21" s="222" t="e">
        <v>#VALUE!</v>
      </c>
    </row>
    <row r="22" spans="1:17" x14ac:dyDescent="0.2">
      <c r="A22" s="4" t="s">
        <v>51</v>
      </c>
      <c r="B22" s="13">
        <v>1083940953</v>
      </c>
      <c r="C22" s="13">
        <v>996757343.19000006</v>
      </c>
      <c r="D22" s="13">
        <v>87183609.809999943</v>
      </c>
      <c r="E22" s="13">
        <v>19281205.649999999</v>
      </c>
      <c r="F22" s="13">
        <v>24208645</v>
      </c>
      <c r="G22" s="14">
        <v>3.6</v>
      </c>
      <c r="H22" s="14">
        <v>0.8</v>
      </c>
      <c r="I22" s="13">
        <v>1606767.1375</v>
      </c>
      <c r="J22" s="15">
        <v>1</v>
      </c>
      <c r="K22" s="13">
        <v>85576842.67249994</v>
      </c>
      <c r="L22" s="13">
        <v>38766319.809999943</v>
      </c>
      <c r="M22" s="13">
        <v>26661997.309999943</v>
      </c>
      <c r="N22" s="179">
        <v>43831</v>
      </c>
      <c r="O22" s="16">
        <v>45658</v>
      </c>
      <c r="P22" s="13">
        <v>1559797.5</v>
      </c>
      <c r="Q22" s="222" t="e">
        <v>#VALUE!</v>
      </c>
    </row>
    <row r="23" spans="1:17" x14ac:dyDescent="0.2">
      <c r="A23" s="4" t="s">
        <v>55</v>
      </c>
      <c r="B23" s="13">
        <v>689945660</v>
      </c>
      <c r="C23" s="13">
        <v>638339035.58000004</v>
      </c>
      <c r="D23" s="13">
        <v>51606624.419999957</v>
      </c>
      <c r="E23" s="13">
        <v>9945502.7799999993</v>
      </c>
      <c r="F23" s="13">
        <v>14901309</v>
      </c>
      <c r="G23" s="14">
        <v>3.46</v>
      </c>
      <c r="H23" s="14">
        <v>0.67</v>
      </c>
      <c r="I23" s="13">
        <v>828791.89833333332</v>
      </c>
      <c r="J23" s="15">
        <v>1</v>
      </c>
      <c r="K23" s="13">
        <v>50777832.521666624</v>
      </c>
      <c r="L23" s="13">
        <v>21804006.419999957</v>
      </c>
      <c r="M23" s="13">
        <v>14353351.919999957</v>
      </c>
      <c r="N23" s="179">
        <v>43466</v>
      </c>
      <c r="O23" s="16">
        <v>45658</v>
      </c>
      <c r="P23" s="13">
        <v>946508.26</v>
      </c>
      <c r="Q23" s="222" t="e">
        <v>#VALUE!</v>
      </c>
    </row>
    <row r="24" spans="1:17" x14ac:dyDescent="0.2">
      <c r="A24" s="4" t="s">
        <v>25</v>
      </c>
      <c r="B24" s="13">
        <v>265120500</v>
      </c>
      <c r="C24" s="13">
        <v>243757492.25</v>
      </c>
      <c r="D24" s="13">
        <v>21363007.75</v>
      </c>
      <c r="E24" s="13">
        <v>9487268.8900000006</v>
      </c>
      <c r="F24" s="13">
        <v>6172506</v>
      </c>
      <c r="G24" s="14">
        <v>3.46</v>
      </c>
      <c r="H24" s="14">
        <v>1.54</v>
      </c>
      <c r="I24" s="13">
        <v>790605.74083333334</v>
      </c>
      <c r="J24" s="15">
        <v>4</v>
      </c>
      <c r="K24" s="13">
        <v>18200584.786666665</v>
      </c>
      <c r="L24" s="13">
        <v>2254498.9375</v>
      </c>
      <c r="M24" s="13">
        <v>1482935.6875</v>
      </c>
      <c r="N24" s="179">
        <v>43922</v>
      </c>
      <c r="O24" s="16">
        <v>45748</v>
      </c>
      <c r="P24" s="13">
        <v>444246.27</v>
      </c>
      <c r="Q24" s="222" t="e">
        <v>#VALUE!</v>
      </c>
    </row>
    <row r="25" spans="1:17" x14ac:dyDescent="0.2">
      <c r="A25" s="4" t="s">
        <v>50</v>
      </c>
      <c r="B25" s="13">
        <v>1683242657.0699999</v>
      </c>
      <c r="C25" s="13">
        <v>1543590971.8299999</v>
      </c>
      <c r="D25" s="13">
        <v>139651685.24000001</v>
      </c>
      <c r="E25" s="13">
        <v>38871191.640000001</v>
      </c>
      <c r="F25" s="13">
        <v>40945091</v>
      </c>
      <c r="G25" s="14">
        <v>3.41</v>
      </c>
      <c r="H25" s="14">
        <v>0.95</v>
      </c>
      <c r="I25" s="13">
        <v>3239265.97</v>
      </c>
      <c r="J25" s="15">
        <v>7</v>
      </c>
      <c r="K25" s="13">
        <v>116976823.45</v>
      </c>
      <c r="L25" s="13">
        <v>8251643.3200000012</v>
      </c>
      <c r="M25" s="13">
        <v>5326993.962857144</v>
      </c>
      <c r="N25" s="179">
        <v>43647</v>
      </c>
      <c r="O25" s="16">
        <v>45839</v>
      </c>
      <c r="P25" s="13">
        <v>3760886.25</v>
      </c>
      <c r="Q25" s="222" t="e">
        <v>#VALUE!</v>
      </c>
    </row>
    <row r="26" spans="1:17" x14ac:dyDescent="0.2">
      <c r="A26" s="4" t="s">
        <v>56</v>
      </c>
      <c r="B26" s="13">
        <v>1182377479</v>
      </c>
      <c r="C26" s="13">
        <v>1091798071.5799999</v>
      </c>
      <c r="D26" s="13">
        <v>90579407.420000076</v>
      </c>
      <c r="E26" s="13">
        <v>25701591.539999999</v>
      </c>
      <c r="F26" s="13">
        <v>27472066</v>
      </c>
      <c r="G26" s="14">
        <v>3.3</v>
      </c>
      <c r="H26" s="14">
        <v>0.94</v>
      </c>
      <c r="I26" s="13">
        <v>2141799.2949999999</v>
      </c>
      <c r="J26" s="15">
        <v>7</v>
      </c>
      <c r="K26" s="13">
        <v>75586812.355000079</v>
      </c>
      <c r="L26" s="13">
        <v>5090753.6314285826</v>
      </c>
      <c r="M26" s="13">
        <v>3128463.202857154</v>
      </c>
      <c r="N26" s="179">
        <v>43647</v>
      </c>
      <c r="O26" s="16">
        <v>45839</v>
      </c>
      <c r="P26" s="13">
        <v>2945753.89</v>
      </c>
      <c r="Q26" s="222" t="e">
        <v>#VALUE!</v>
      </c>
    </row>
    <row r="27" spans="1:17" x14ac:dyDescent="0.2">
      <c r="A27" s="4" t="s">
        <v>64</v>
      </c>
      <c r="B27" s="13">
        <v>355494147</v>
      </c>
      <c r="C27" s="13">
        <v>325118232.94999999</v>
      </c>
      <c r="D27" s="13">
        <v>30375914.050000012</v>
      </c>
      <c r="E27" s="13">
        <v>5470788.6299999999</v>
      </c>
      <c r="F27" s="13">
        <v>9435207</v>
      </c>
      <c r="G27" s="14">
        <v>3.22</v>
      </c>
      <c r="H27" s="14">
        <v>0.57999999999999996</v>
      </c>
      <c r="I27" s="13">
        <v>455899.05249999999</v>
      </c>
      <c r="J27" s="15">
        <v>1</v>
      </c>
      <c r="K27" s="13">
        <v>29920014.997500014</v>
      </c>
      <c r="L27" s="13">
        <v>11505500.050000012</v>
      </c>
      <c r="M27" s="13">
        <v>6787896.5500000119</v>
      </c>
      <c r="N27" s="179">
        <v>43831</v>
      </c>
      <c r="O27" s="16">
        <v>45658</v>
      </c>
      <c r="P27" s="13">
        <v>621195.17000000004</v>
      </c>
      <c r="Q27" s="222" t="e">
        <v>#VALUE!</v>
      </c>
    </row>
    <row r="28" spans="1:17" x14ac:dyDescent="0.2">
      <c r="A28" s="4" t="s">
        <v>40</v>
      </c>
      <c r="B28" s="13">
        <v>203184641.25</v>
      </c>
      <c r="C28" s="13">
        <v>185316473.66999999</v>
      </c>
      <c r="D28" s="13">
        <v>17868167.580000013</v>
      </c>
      <c r="E28" s="13">
        <v>9492893.9499999993</v>
      </c>
      <c r="F28" s="13">
        <v>5655134</v>
      </c>
      <c r="G28" s="14">
        <v>3.16</v>
      </c>
      <c r="H28" s="14">
        <v>1.68</v>
      </c>
      <c r="I28" s="13">
        <v>791074.49583333323</v>
      </c>
      <c r="J28" s="15">
        <v>7</v>
      </c>
      <c r="K28" s="13">
        <v>12330646.109166682</v>
      </c>
      <c r="L28" s="13">
        <v>936842.79714285897</v>
      </c>
      <c r="M28" s="13" t="s">
        <v>42</v>
      </c>
      <c r="N28" s="179">
        <v>43647</v>
      </c>
      <c r="O28" s="16">
        <v>45839</v>
      </c>
      <c r="P28" s="13">
        <v>1934853.41</v>
      </c>
      <c r="Q28" s="222" t="e">
        <v>#VALUE!</v>
      </c>
    </row>
    <row r="29" spans="1:17" x14ac:dyDescent="0.2">
      <c r="A29" s="4" t="s">
        <v>52</v>
      </c>
      <c r="B29" s="13">
        <v>535148479</v>
      </c>
      <c r="C29" s="13">
        <v>494002131.52999997</v>
      </c>
      <c r="D29" s="13">
        <v>41146347.470000029</v>
      </c>
      <c r="E29" s="13">
        <v>11941494.279999999</v>
      </c>
      <c r="F29" s="13">
        <v>13099382</v>
      </c>
      <c r="G29" s="14">
        <v>3.14</v>
      </c>
      <c r="H29" s="14">
        <v>0.91</v>
      </c>
      <c r="I29" s="13">
        <v>995124.52333333332</v>
      </c>
      <c r="J29" s="15">
        <v>7</v>
      </c>
      <c r="K29" s="13">
        <v>34180475.806666695</v>
      </c>
      <c r="L29" s="13">
        <v>2135369.0671428614</v>
      </c>
      <c r="M29" s="13">
        <v>1199698.9242857185</v>
      </c>
      <c r="N29" s="179">
        <v>43647</v>
      </c>
      <c r="O29" s="16">
        <v>45839</v>
      </c>
      <c r="P29" s="13">
        <v>671790.11</v>
      </c>
      <c r="Q29" s="222" t="e">
        <v>#VALUE!</v>
      </c>
    </row>
    <row r="30" spans="1:17" x14ac:dyDescent="0.2">
      <c r="A30" s="4" t="s">
        <v>44</v>
      </c>
      <c r="B30" s="13">
        <v>300531063.24000001</v>
      </c>
      <c r="C30" s="13">
        <v>280105197.83999997</v>
      </c>
      <c r="D30" s="13">
        <v>20425865.400000036</v>
      </c>
      <c r="E30" s="13">
        <v>7154799.3300000001</v>
      </c>
      <c r="F30" s="13">
        <v>6730317</v>
      </c>
      <c r="G30" s="14">
        <v>3.03</v>
      </c>
      <c r="H30" s="14">
        <v>1.06</v>
      </c>
      <c r="I30" s="13">
        <v>596233.27749999997</v>
      </c>
      <c r="J30" s="15">
        <v>7</v>
      </c>
      <c r="K30" s="13">
        <v>16252232.457500037</v>
      </c>
      <c r="L30" s="13">
        <v>995033.05714286224</v>
      </c>
      <c r="M30" s="13" t="s">
        <v>42</v>
      </c>
      <c r="N30" s="179">
        <v>43647</v>
      </c>
      <c r="O30" s="16">
        <v>45839</v>
      </c>
      <c r="P30" s="13">
        <v>809391.24</v>
      </c>
      <c r="Q30" s="222" t="e">
        <v>#VALUE!</v>
      </c>
    </row>
    <row r="31" spans="1:17" x14ac:dyDescent="0.2">
      <c r="A31" s="4" t="s">
        <v>29</v>
      </c>
      <c r="B31" s="13">
        <v>799406417.05999994</v>
      </c>
      <c r="C31" s="13">
        <v>747243731.89999998</v>
      </c>
      <c r="D31" s="13">
        <v>52162685.159999967</v>
      </c>
      <c r="E31" s="13">
        <v>24452877.489999998</v>
      </c>
      <c r="F31" s="13">
        <v>17480755</v>
      </c>
      <c r="G31" s="14">
        <v>2.98</v>
      </c>
      <c r="H31" s="14">
        <v>1.4</v>
      </c>
      <c r="I31" s="13">
        <v>2037739.7908333333</v>
      </c>
      <c r="J31" s="15">
        <v>7</v>
      </c>
      <c r="K31" s="13">
        <v>37898506.624166638</v>
      </c>
      <c r="L31" s="13">
        <v>2457310.7371428525</v>
      </c>
      <c r="M31" s="13" t="s">
        <v>42</v>
      </c>
      <c r="N31" s="179">
        <v>43647</v>
      </c>
      <c r="O31" s="16">
        <v>45839</v>
      </c>
      <c r="P31" s="13">
        <v>3077629.81</v>
      </c>
      <c r="Q31" s="222" t="e">
        <v>#VALUE!</v>
      </c>
    </row>
    <row r="32" spans="1:17" x14ac:dyDescent="0.2">
      <c r="A32" s="4" t="s">
        <v>63</v>
      </c>
      <c r="B32" s="13">
        <v>1340428223.5599999</v>
      </c>
      <c r="C32" s="13">
        <v>1249273921.29</v>
      </c>
      <c r="D32" s="13">
        <v>91154302.269999981</v>
      </c>
      <c r="E32" s="13">
        <v>23431464.48</v>
      </c>
      <c r="F32" s="13">
        <v>30689455</v>
      </c>
      <c r="G32" s="14">
        <v>2.97</v>
      </c>
      <c r="H32" s="14">
        <v>0.76</v>
      </c>
      <c r="I32" s="13">
        <v>1952622.04</v>
      </c>
      <c r="J32" s="15">
        <v>7</v>
      </c>
      <c r="K32" s="13">
        <v>77485947.98999998</v>
      </c>
      <c r="L32" s="13">
        <v>4253627.4671428548</v>
      </c>
      <c r="M32" s="13">
        <v>2061523.5385714259</v>
      </c>
      <c r="N32" s="179">
        <v>43647</v>
      </c>
      <c r="O32" s="16">
        <v>45839</v>
      </c>
      <c r="P32" s="13">
        <v>546254.68000000005</v>
      </c>
      <c r="Q32" s="222" t="e">
        <v>#VALUE!</v>
      </c>
    </row>
    <row r="33" spans="1:17" x14ac:dyDescent="0.2">
      <c r="A33" s="4" t="s">
        <v>53</v>
      </c>
      <c r="B33" s="13">
        <v>2950491414.54</v>
      </c>
      <c r="C33" s="13">
        <v>2739034557.7800002</v>
      </c>
      <c r="D33" s="13">
        <v>211456856.75999975</v>
      </c>
      <c r="E33" s="13">
        <v>77804110.700000003</v>
      </c>
      <c r="F33" s="13">
        <v>71178309</v>
      </c>
      <c r="G33" s="14">
        <v>2.97</v>
      </c>
      <c r="H33" s="14">
        <v>1.0900000000000001</v>
      </c>
      <c r="I33" s="13">
        <v>6483675.8916666666</v>
      </c>
      <c r="J33" s="15">
        <v>9</v>
      </c>
      <c r="K33" s="13">
        <v>153103773.73499975</v>
      </c>
      <c r="L33" s="13">
        <v>7677804.3066666387</v>
      </c>
      <c r="M33" s="13" t="s">
        <v>42</v>
      </c>
      <c r="N33" s="179">
        <v>44075</v>
      </c>
      <c r="O33" s="16">
        <v>45901</v>
      </c>
      <c r="P33" s="13">
        <v>5353157.21</v>
      </c>
      <c r="Q33" s="222" t="e">
        <v>#VALUE!</v>
      </c>
    </row>
    <row r="34" spans="1:17" x14ac:dyDescent="0.2">
      <c r="A34" s="4" t="s">
        <v>60</v>
      </c>
      <c r="B34" s="13">
        <v>351543186.45999998</v>
      </c>
      <c r="C34" s="13">
        <v>326154244.45999998</v>
      </c>
      <c r="D34" s="13">
        <v>25388942</v>
      </c>
      <c r="E34" s="13">
        <v>7108781.7800000003</v>
      </c>
      <c r="F34" s="13">
        <v>8658249</v>
      </c>
      <c r="G34" s="14">
        <v>2.93</v>
      </c>
      <c r="H34" s="14">
        <v>0.82</v>
      </c>
      <c r="I34" s="13">
        <v>592398.48166666669</v>
      </c>
      <c r="J34" s="15">
        <v>4</v>
      </c>
      <c r="K34" s="13">
        <v>23019348.073333334</v>
      </c>
      <c r="L34" s="13">
        <v>2018111</v>
      </c>
      <c r="M34" s="13">
        <v>935829.875</v>
      </c>
      <c r="N34" s="179">
        <v>43556</v>
      </c>
      <c r="O34" s="16">
        <v>45748</v>
      </c>
      <c r="P34" s="13">
        <v>125923.01</v>
      </c>
      <c r="Q34" s="222" t="e">
        <v>#VALUE!</v>
      </c>
    </row>
    <row r="35" spans="1:17" x14ac:dyDescent="0.2">
      <c r="A35" s="4" t="s">
        <v>57</v>
      </c>
      <c r="B35" s="13">
        <v>101611843</v>
      </c>
      <c r="C35" s="13">
        <v>93172844.109999999</v>
      </c>
      <c r="D35" s="13">
        <v>8438998.8900000006</v>
      </c>
      <c r="E35" s="13">
        <v>3356175.21</v>
      </c>
      <c r="F35" s="13">
        <v>2910779</v>
      </c>
      <c r="G35" s="14">
        <v>2.9</v>
      </c>
      <c r="H35" s="14">
        <v>1.1499999999999999</v>
      </c>
      <c r="I35" s="13">
        <v>279681.26750000002</v>
      </c>
      <c r="J35" s="15">
        <v>7</v>
      </c>
      <c r="K35" s="13">
        <v>6481230.0175000001</v>
      </c>
      <c r="L35" s="13">
        <v>373920.12714285724</v>
      </c>
      <c r="M35" s="13" t="s">
        <v>42</v>
      </c>
      <c r="N35" s="179">
        <v>43647</v>
      </c>
      <c r="O35" s="16">
        <v>45839</v>
      </c>
      <c r="P35" s="13">
        <v>0</v>
      </c>
      <c r="Q35" s="222" t="e">
        <v>#VALUE!</v>
      </c>
    </row>
    <row r="36" spans="1:17" x14ac:dyDescent="0.2">
      <c r="A36" s="4" t="s">
        <v>36</v>
      </c>
      <c r="B36" s="13">
        <v>392596167.93000001</v>
      </c>
      <c r="C36" s="13">
        <v>366566481.75999999</v>
      </c>
      <c r="D36" s="13">
        <v>26029686.170000017</v>
      </c>
      <c r="E36" s="13">
        <v>16086103.59</v>
      </c>
      <c r="F36" s="13">
        <v>9305817</v>
      </c>
      <c r="G36" s="14">
        <v>2.8</v>
      </c>
      <c r="H36" s="14">
        <v>1.73</v>
      </c>
      <c r="I36" s="13">
        <v>1340508.6325000001</v>
      </c>
      <c r="J36" s="15">
        <v>4</v>
      </c>
      <c r="K36" s="13">
        <v>20667651.640000015</v>
      </c>
      <c r="L36" s="13">
        <v>1854513.0425000042</v>
      </c>
      <c r="M36" s="13" t="s">
        <v>42</v>
      </c>
      <c r="N36" s="179">
        <v>43556</v>
      </c>
      <c r="O36" s="16">
        <v>45748</v>
      </c>
      <c r="P36" s="13">
        <v>-489196.21</v>
      </c>
      <c r="Q36" s="222" t="e">
        <v>#VALUE!</v>
      </c>
    </row>
    <row r="37" spans="1:17" x14ac:dyDescent="0.2">
      <c r="A37" s="4" t="s">
        <v>54</v>
      </c>
      <c r="B37" s="13">
        <v>1428807757.99</v>
      </c>
      <c r="C37" s="13">
        <v>1334207493.1600001</v>
      </c>
      <c r="D37" s="13">
        <v>94600264.829999924</v>
      </c>
      <c r="E37" s="13">
        <v>45636434.380000003</v>
      </c>
      <c r="F37" s="13">
        <v>34424780</v>
      </c>
      <c r="G37" s="14">
        <v>2.75</v>
      </c>
      <c r="H37" s="14">
        <v>1.33</v>
      </c>
      <c r="I37" s="13">
        <v>3803036.1983333337</v>
      </c>
      <c r="J37" s="15">
        <v>4</v>
      </c>
      <c r="K37" s="13">
        <v>79388120.036666587</v>
      </c>
      <c r="L37" s="13">
        <v>6437676.2074999809</v>
      </c>
      <c r="M37" s="13" t="s">
        <v>42</v>
      </c>
      <c r="N37" s="179">
        <v>43922</v>
      </c>
      <c r="O37" s="16">
        <v>45748</v>
      </c>
      <c r="P37" s="13">
        <v>2314551.88</v>
      </c>
      <c r="Q37" s="222" t="e">
        <v>#VALUE!</v>
      </c>
    </row>
    <row r="38" spans="1:17" x14ac:dyDescent="0.2">
      <c r="A38" s="4" t="s">
        <v>59</v>
      </c>
      <c r="B38" s="13">
        <v>285086766</v>
      </c>
      <c r="C38" s="13">
        <v>265213043</v>
      </c>
      <c r="D38" s="13">
        <v>19873723</v>
      </c>
      <c r="E38" s="13">
        <v>9165906.5199999996</v>
      </c>
      <c r="F38" s="13">
        <v>7485780</v>
      </c>
      <c r="G38" s="14">
        <v>2.65</v>
      </c>
      <c r="H38" s="14">
        <v>1.22</v>
      </c>
      <c r="I38" s="13">
        <v>763825.54333333333</v>
      </c>
      <c r="J38" s="15">
        <v>7</v>
      </c>
      <c r="K38" s="13">
        <v>14526944.196666665</v>
      </c>
      <c r="L38" s="13" t="s">
        <v>42</v>
      </c>
      <c r="M38" s="13" t="s">
        <v>42</v>
      </c>
      <c r="N38" s="179">
        <v>43647</v>
      </c>
      <c r="O38" s="16">
        <v>45839</v>
      </c>
      <c r="P38" s="13">
        <v>280300.96999999997</v>
      </c>
      <c r="Q38" s="222" t="e">
        <v>#VALUE!</v>
      </c>
    </row>
    <row r="39" spans="1:17" x14ac:dyDescent="0.2">
      <c r="A39" s="4" t="s">
        <v>49</v>
      </c>
      <c r="B39" s="13">
        <v>1239388142.8299999</v>
      </c>
      <c r="C39" s="13">
        <v>1177175435.5699999</v>
      </c>
      <c r="D39" s="13">
        <v>62212707.25999999</v>
      </c>
      <c r="E39" s="13">
        <v>19633290.75</v>
      </c>
      <c r="F39" s="13">
        <v>24088947</v>
      </c>
      <c r="G39" s="14">
        <v>2.58</v>
      </c>
      <c r="H39" s="14">
        <v>0.82</v>
      </c>
      <c r="I39" s="13">
        <v>1636107.5625</v>
      </c>
      <c r="J39" s="15">
        <v>7</v>
      </c>
      <c r="K39" s="13">
        <v>50759954.32249999</v>
      </c>
      <c r="L39" s="13">
        <v>2004973.3228571415</v>
      </c>
      <c r="M39" s="13" t="s">
        <v>42</v>
      </c>
      <c r="N39" s="179">
        <v>43647</v>
      </c>
      <c r="O39" s="16">
        <v>45839</v>
      </c>
      <c r="P39" s="13">
        <v>1814194.47</v>
      </c>
      <c r="Q39" s="222" t="e">
        <v>#VALUE!</v>
      </c>
    </row>
    <row r="40" spans="1:17" x14ac:dyDescent="0.2">
      <c r="A40" s="4" t="s">
        <v>62</v>
      </c>
      <c r="B40" s="13">
        <v>699328036.19000006</v>
      </c>
      <c r="C40" s="13">
        <v>663599255.80999994</v>
      </c>
      <c r="D40" s="13">
        <v>35728780.380000114</v>
      </c>
      <c r="E40" s="13">
        <v>16549722.49</v>
      </c>
      <c r="F40" s="13">
        <v>14024709</v>
      </c>
      <c r="G40" s="14">
        <v>2.5499999999999998</v>
      </c>
      <c r="H40" s="14">
        <v>1.18</v>
      </c>
      <c r="I40" s="13">
        <v>1379143.5408333333</v>
      </c>
      <c r="J40" s="15">
        <v>4</v>
      </c>
      <c r="K40" s="13">
        <v>30212206.21666678</v>
      </c>
      <c r="L40" s="13">
        <v>1919840.5950000286</v>
      </c>
      <c r="M40" s="13" t="s">
        <v>42</v>
      </c>
      <c r="N40" s="179">
        <v>43922</v>
      </c>
      <c r="O40" s="16">
        <v>45748</v>
      </c>
      <c r="P40" s="13">
        <v>1109838.19</v>
      </c>
      <c r="Q40" s="222" t="e">
        <v>#VALUE!</v>
      </c>
    </row>
    <row r="41" spans="1:17" x14ac:dyDescent="0.2">
      <c r="A41" s="4" t="s">
        <v>38</v>
      </c>
      <c r="B41" s="13">
        <v>528328839.02999997</v>
      </c>
      <c r="C41" s="13">
        <v>493153729.95999998</v>
      </c>
      <c r="D41" s="13">
        <v>35175109.069999993</v>
      </c>
      <c r="E41" s="13">
        <v>15100808.810000001</v>
      </c>
      <c r="F41" s="13">
        <v>13880022</v>
      </c>
      <c r="G41" s="14">
        <v>2.5299999999999998</v>
      </c>
      <c r="H41" s="14">
        <v>1.0900000000000001</v>
      </c>
      <c r="I41" s="13">
        <v>1258400.7341666666</v>
      </c>
      <c r="J41" s="15">
        <v>7</v>
      </c>
      <c r="K41" s="13">
        <v>26366303.930833325</v>
      </c>
      <c r="L41" s="13" t="s">
        <v>42</v>
      </c>
      <c r="M41" s="13" t="s">
        <v>42</v>
      </c>
      <c r="N41" s="179">
        <v>43647</v>
      </c>
      <c r="O41" s="16">
        <v>45839</v>
      </c>
      <c r="P41" s="13">
        <v>0</v>
      </c>
      <c r="Q41" s="222" t="e">
        <v>#VALUE!</v>
      </c>
    </row>
    <row r="42" spans="1:17" x14ac:dyDescent="0.2">
      <c r="A42" s="4" t="s">
        <v>66</v>
      </c>
      <c r="B42" s="13">
        <v>1985336227.8699999</v>
      </c>
      <c r="C42" s="13">
        <v>1870158947.6700001</v>
      </c>
      <c r="D42" s="13">
        <v>115177280.19999981</v>
      </c>
      <c r="E42" s="13">
        <v>41154029.609999999</v>
      </c>
      <c r="F42" s="13">
        <v>45588088</v>
      </c>
      <c r="G42" s="14">
        <v>2.5299999999999998</v>
      </c>
      <c r="H42" s="14">
        <v>0.9</v>
      </c>
      <c r="I42" s="13">
        <v>3429502.4674999998</v>
      </c>
      <c r="J42" s="15">
        <v>7</v>
      </c>
      <c r="K42" s="13">
        <v>91170762.927499816</v>
      </c>
      <c r="L42" s="13" t="s">
        <v>42</v>
      </c>
      <c r="M42" s="13" t="s">
        <v>42</v>
      </c>
      <c r="N42" s="179">
        <v>43647</v>
      </c>
      <c r="O42" s="16">
        <v>45839</v>
      </c>
      <c r="P42" s="13">
        <v>4316420.26</v>
      </c>
      <c r="Q42" s="222" t="e">
        <v>#VALUE!</v>
      </c>
    </row>
    <row r="43" spans="1:17" x14ac:dyDescent="0.2">
      <c r="A43" s="4" t="s">
        <v>43</v>
      </c>
      <c r="B43" s="13">
        <v>254239457</v>
      </c>
      <c r="C43" s="13">
        <v>240052249.22999999</v>
      </c>
      <c r="D43" s="13">
        <v>14187207.770000011</v>
      </c>
      <c r="E43" s="13">
        <v>6432888.0499999998</v>
      </c>
      <c r="F43" s="13">
        <v>5680880</v>
      </c>
      <c r="G43" s="14">
        <v>2.5</v>
      </c>
      <c r="H43" s="14">
        <v>1.1299999999999999</v>
      </c>
      <c r="I43" s="13">
        <v>536074.00416666665</v>
      </c>
      <c r="J43" s="15">
        <v>1</v>
      </c>
      <c r="K43" s="13">
        <v>13651133.765833344</v>
      </c>
      <c r="L43" s="13">
        <v>2825447.7700000107</v>
      </c>
      <c r="M43" s="13" t="s">
        <v>42</v>
      </c>
      <c r="N43" s="179">
        <v>43831</v>
      </c>
      <c r="O43" s="16">
        <v>45658</v>
      </c>
      <c r="P43" s="13">
        <v>2139911.7799999998</v>
      </c>
      <c r="Q43" s="222" t="e">
        <v>#VALUE!</v>
      </c>
    </row>
    <row r="44" spans="1:17" x14ac:dyDescent="0.2">
      <c r="A44" s="4" t="s">
        <v>67</v>
      </c>
      <c r="B44" s="13">
        <v>1110426785</v>
      </c>
      <c r="C44" s="13">
        <v>1041803543.27</v>
      </c>
      <c r="D44" s="13">
        <v>68623241.730000019</v>
      </c>
      <c r="E44" s="13">
        <v>25201747.579999998</v>
      </c>
      <c r="F44" s="13">
        <v>27485501</v>
      </c>
      <c r="G44" s="14">
        <v>2.5</v>
      </c>
      <c r="H44" s="14">
        <v>0.92</v>
      </c>
      <c r="I44" s="13">
        <v>2100145.6316666664</v>
      </c>
      <c r="J44" s="15">
        <v>4</v>
      </c>
      <c r="K44" s="13">
        <v>60222659.203333355</v>
      </c>
      <c r="L44" s="13">
        <v>3413059.9325000048</v>
      </c>
      <c r="M44" s="13" t="s">
        <v>42</v>
      </c>
      <c r="N44" s="179">
        <v>43922</v>
      </c>
      <c r="O44" s="16">
        <v>45748</v>
      </c>
      <c r="P44" s="13">
        <v>6822990.21</v>
      </c>
      <c r="Q44" s="222" t="e">
        <v>#VALUE!</v>
      </c>
    </row>
    <row r="45" spans="1:17" x14ac:dyDescent="0.2">
      <c r="A45" s="4" t="s">
        <v>46</v>
      </c>
      <c r="B45" s="13">
        <v>314446387.48000002</v>
      </c>
      <c r="C45" s="13">
        <v>294092896.25999999</v>
      </c>
      <c r="D45" s="13">
        <v>20353491.220000029</v>
      </c>
      <c r="E45" s="13">
        <v>8910377.3300000001</v>
      </c>
      <c r="F45" s="13">
        <v>8369791</v>
      </c>
      <c r="G45" s="14">
        <v>2.4300000000000002</v>
      </c>
      <c r="H45" s="14">
        <v>1.06</v>
      </c>
      <c r="I45" s="13">
        <v>742531.44416666671</v>
      </c>
      <c r="J45" s="15">
        <v>7</v>
      </c>
      <c r="K45" s="13">
        <v>15155771.110833362</v>
      </c>
      <c r="L45" s="13" t="s">
        <v>42</v>
      </c>
      <c r="M45" s="13" t="s">
        <v>42</v>
      </c>
      <c r="N45" s="179">
        <v>43647</v>
      </c>
      <c r="O45" s="16">
        <v>45839</v>
      </c>
      <c r="P45" s="13">
        <v>445553.34</v>
      </c>
      <c r="Q45" s="222" t="e">
        <v>#VALUE!</v>
      </c>
    </row>
    <row r="46" spans="1:17" x14ac:dyDescent="0.2">
      <c r="A46" s="4" t="s">
        <v>65</v>
      </c>
      <c r="B46" s="13">
        <v>398824318</v>
      </c>
      <c r="C46" s="13">
        <v>376165024.23000002</v>
      </c>
      <c r="D46" s="13">
        <v>22659293.769999981</v>
      </c>
      <c r="E46" s="13">
        <v>11646344.5</v>
      </c>
      <c r="F46" s="13">
        <v>9664284</v>
      </c>
      <c r="G46" s="14">
        <v>2.34</v>
      </c>
      <c r="H46" s="14">
        <v>1.21</v>
      </c>
      <c r="I46" s="13">
        <v>970528.70833333337</v>
      </c>
      <c r="J46" s="15">
        <v>7</v>
      </c>
      <c r="K46" s="13">
        <v>15865592.811666647</v>
      </c>
      <c r="L46" s="13" t="s">
        <v>42</v>
      </c>
      <c r="M46" s="13" t="s">
        <v>42</v>
      </c>
      <c r="N46" s="179">
        <v>43647</v>
      </c>
      <c r="O46" s="16">
        <v>45839</v>
      </c>
      <c r="P46" s="13">
        <v>848285.7</v>
      </c>
      <c r="Q46" s="222" t="e">
        <v>#VALUE!</v>
      </c>
    </row>
    <row r="47" spans="1:17" x14ac:dyDescent="0.2">
      <c r="A47" s="4" t="s">
        <v>68</v>
      </c>
      <c r="B47" s="13">
        <v>509113932</v>
      </c>
      <c r="C47" s="13">
        <v>481681020.58999997</v>
      </c>
      <c r="D47" s="13">
        <v>27432911.410000026</v>
      </c>
      <c r="E47" s="13">
        <v>12213034.02</v>
      </c>
      <c r="F47" s="13">
        <v>11867952</v>
      </c>
      <c r="G47" s="14">
        <v>2.31</v>
      </c>
      <c r="H47" s="14">
        <v>1.03</v>
      </c>
      <c r="I47" s="13">
        <v>1017752.835</v>
      </c>
      <c r="J47" s="15">
        <v>1</v>
      </c>
      <c r="K47" s="13">
        <v>26415158.575000025</v>
      </c>
      <c r="L47" s="13">
        <v>3697007.4100000262</v>
      </c>
      <c r="M47" s="13" t="s">
        <v>42</v>
      </c>
      <c r="N47" s="179">
        <v>43831</v>
      </c>
      <c r="O47" s="16">
        <v>45658</v>
      </c>
      <c r="P47" s="13">
        <v>2022519.45</v>
      </c>
      <c r="Q47" s="222" t="e">
        <v>#VALUE!</v>
      </c>
    </row>
    <row r="48" spans="1:17" x14ac:dyDescent="0.2">
      <c r="A48" s="4" t="s">
        <v>61</v>
      </c>
      <c r="B48" s="13">
        <v>1085275104.5</v>
      </c>
      <c r="C48" s="13">
        <v>1039247574.09</v>
      </c>
      <c r="D48" s="13">
        <v>46027530.409999967</v>
      </c>
      <c r="E48" s="13">
        <v>22180535.52</v>
      </c>
      <c r="F48" s="13">
        <v>22858857</v>
      </c>
      <c r="G48" s="14">
        <v>2.0099999999999998</v>
      </c>
      <c r="H48" s="14">
        <v>0.97</v>
      </c>
      <c r="I48" s="13">
        <v>1848377.96</v>
      </c>
      <c r="J48" s="15">
        <v>4</v>
      </c>
      <c r="K48" s="13">
        <v>38634018.569999963</v>
      </c>
      <c r="L48" s="13" t="s">
        <v>42</v>
      </c>
      <c r="M48" s="13" t="s">
        <v>42</v>
      </c>
      <c r="N48" s="179">
        <v>43556</v>
      </c>
      <c r="O48" s="16">
        <v>45748</v>
      </c>
      <c r="P48" s="13">
        <v>213909.58</v>
      </c>
      <c r="Q48" s="222" t="e">
        <v>#VALUE!</v>
      </c>
    </row>
    <row r="49" spans="1:17" x14ac:dyDescent="0.2">
      <c r="A49" s="4" t="s">
        <v>58</v>
      </c>
      <c r="B49" s="13">
        <v>1205115490</v>
      </c>
      <c r="C49" s="13">
        <v>1160862862.73</v>
      </c>
      <c r="D49" s="13">
        <v>44252627.269999981</v>
      </c>
      <c r="E49" s="13">
        <v>21136435.940000001</v>
      </c>
      <c r="F49" s="13">
        <v>22499042</v>
      </c>
      <c r="G49" s="14">
        <v>1.97</v>
      </c>
      <c r="H49" s="14">
        <v>0.94</v>
      </c>
      <c r="I49" s="13">
        <v>1761369.6616666669</v>
      </c>
      <c r="J49" s="15">
        <v>4</v>
      </c>
      <c r="K49" s="13">
        <v>37207148.623333313</v>
      </c>
      <c r="L49" s="13" t="s">
        <v>42</v>
      </c>
      <c r="M49" s="13" t="s">
        <v>42</v>
      </c>
      <c r="N49" s="179">
        <v>43922</v>
      </c>
      <c r="O49" s="16">
        <v>45748</v>
      </c>
      <c r="P49" s="13">
        <v>753723.92</v>
      </c>
      <c r="Q49" s="222" t="e">
        <v>#VALUE!</v>
      </c>
    </row>
    <row r="50" spans="1:17" x14ac:dyDescent="0.2">
      <c r="A50" s="4" t="s">
        <v>48</v>
      </c>
      <c r="B50" s="13">
        <v>545409679.30999994</v>
      </c>
      <c r="C50" s="13">
        <v>523769079.70999998</v>
      </c>
      <c r="D50" s="13">
        <v>21640599.599999964</v>
      </c>
      <c r="E50" s="13">
        <v>13763199.4</v>
      </c>
      <c r="F50" s="13">
        <v>11656242</v>
      </c>
      <c r="G50" s="14">
        <v>1.86</v>
      </c>
      <c r="H50" s="14">
        <v>1.18</v>
      </c>
      <c r="I50" s="13">
        <v>1146933.2833333334</v>
      </c>
      <c r="J50" s="15">
        <v>1</v>
      </c>
      <c r="K50" s="13">
        <v>20493666.316666629</v>
      </c>
      <c r="L50" s="13" t="s">
        <v>42</v>
      </c>
      <c r="M50" s="13" t="s">
        <v>42</v>
      </c>
      <c r="N50" s="179">
        <v>43831</v>
      </c>
      <c r="O50" s="16">
        <v>45658</v>
      </c>
      <c r="P50" s="13">
        <v>963746.46</v>
      </c>
      <c r="Q50" s="222" t="e">
        <v>#VALUE!</v>
      </c>
    </row>
    <row r="51" spans="1:17" x14ac:dyDescent="0.2">
      <c r="A51" s="4" t="s">
        <v>69</v>
      </c>
      <c r="B51" s="13">
        <v>238203233</v>
      </c>
      <c r="C51" s="13">
        <v>233443786.21000001</v>
      </c>
      <c r="D51" s="13">
        <v>4759446.7899999917</v>
      </c>
      <c r="E51" s="13">
        <v>6962652.5099999998</v>
      </c>
      <c r="F51" s="13">
        <v>5501208</v>
      </c>
      <c r="G51" s="14">
        <v>0.87</v>
      </c>
      <c r="H51" s="14">
        <v>1.27</v>
      </c>
      <c r="I51" s="13">
        <v>580221.04249999998</v>
      </c>
      <c r="J51" s="15">
        <v>7</v>
      </c>
      <c r="K51" s="13">
        <v>697899.49249999179</v>
      </c>
      <c r="L51" s="13" t="s">
        <v>42</v>
      </c>
      <c r="M51" s="13" t="s">
        <v>42</v>
      </c>
      <c r="N51" s="179">
        <v>43647</v>
      </c>
      <c r="O51" s="16">
        <v>45839</v>
      </c>
      <c r="P51" s="13">
        <v>33335.81</v>
      </c>
      <c r="Q51" s="222" t="e">
        <v>#VALUE!</v>
      </c>
    </row>
    <row r="52" spans="1:17" x14ac:dyDescent="0.2">
      <c r="A52" s="4" t="s">
        <v>70</v>
      </c>
      <c r="B52" s="13">
        <v>75470621</v>
      </c>
      <c r="C52" s="13">
        <v>73604521.620000005</v>
      </c>
      <c r="D52" s="18">
        <v>1866099.3799999952</v>
      </c>
      <c r="E52" s="13">
        <v>2625165.41</v>
      </c>
      <c r="F52" s="13">
        <v>2752623</v>
      </c>
      <c r="G52" s="14">
        <v>0.68</v>
      </c>
      <c r="H52" s="14">
        <v>0.95</v>
      </c>
      <c r="I52" s="18">
        <v>218763.78416666668</v>
      </c>
      <c r="J52" s="15">
        <v>7</v>
      </c>
      <c r="K52" s="18">
        <v>334752.89083332848</v>
      </c>
      <c r="L52" s="18" t="s">
        <v>42</v>
      </c>
      <c r="M52" s="18" t="s">
        <v>42</v>
      </c>
      <c r="N52" s="180">
        <v>43647</v>
      </c>
      <c r="O52" s="16">
        <v>45839</v>
      </c>
      <c r="P52" s="13">
        <v>132525.57999999999</v>
      </c>
      <c r="Q52" s="222" t="e">
        <v>#VALUE!</v>
      </c>
    </row>
    <row r="53" spans="1:17" x14ac:dyDescent="0.25">
      <c r="A53" s="34" t="s">
        <v>71</v>
      </c>
      <c r="B53" s="31">
        <v>43808641242.440002</v>
      </c>
      <c r="C53" s="13">
        <v>40306642476.059998</v>
      </c>
      <c r="D53" s="31">
        <v>3501998766.3800049</v>
      </c>
      <c r="E53" s="13">
        <v>951328665.97000003</v>
      </c>
      <c r="F53" s="13">
        <v>983528971</v>
      </c>
      <c r="G53" s="14">
        <v>3.56</v>
      </c>
      <c r="H53" s="14">
        <v>0.97</v>
      </c>
      <c r="I53" s="31">
        <v>79277388.830833331</v>
      </c>
      <c r="J53" s="32"/>
      <c r="K53" s="33"/>
      <c r="L53" s="33"/>
      <c r="M53" s="33"/>
      <c r="N53" s="33"/>
      <c r="O53" s="33"/>
      <c r="P53" s="31">
        <v>89460376.109999999</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40</v>
      </c>
      <c r="H56" s="25"/>
    </row>
    <row r="57" spans="1:17" ht="27" customHeight="1" thickBot="1" x14ac:dyDescent="0.3">
      <c r="D57" s="228" t="s">
        <v>73</v>
      </c>
      <c r="E57" s="229"/>
      <c r="F57" s="229"/>
      <c r="G57" s="27"/>
      <c r="H57" s="28">
        <v>29</v>
      </c>
    </row>
  </sheetData>
  <mergeCells count="2">
    <mergeCell ref="D56:F56"/>
    <mergeCell ref="D57:F57"/>
  </mergeCells>
  <conditionalFormatting sqref="G54">
    <cfRule type="cellIs" dxfId="181" priority="13" stopIfTrue="1" operator="greaterThan">
      <formula>2.5</formula>
    </cfRule>
    <cfRule type="cellIs" dxfId="180" priority="14" stopIfTrue="1" operator="between">
      <formula>2.01</formula>
      <formula>2.5</formula>
    </cfRule>
  </conditionalFormatting>
  <conditionalFormatting sqref="H3:H53">
    <cfRule type="cellIs" dxfId="179" priority="12" stopIfTrue="1" operator="lessThan">
      <formula>1</formula>
    </cfRule>
  </conditionalFormatting>
  <conditionalFormatting sqref="G3:G53">
    <cfRule type="cellIs" dxfId="178" priority="10" stopIfTrue="1" operator="greaterThan">
      <formula>2.5</formula>
    </cfRule>
    <cfRule type="cellIs" dxfId="177" priority="11" stopIfTrue="1" operator="between">
      <formula>2.01</formula>
      <formula>2.5</formula>
    </cfRule>
  </conditionalFormatting>
  <conditionalFormatting sqref="K3:K52">
    <cfRule type="cellIs" dxfId="176" priority="8" stopIfTrue="1" operator="greaterThan">
      <formula>$F3*2.5</formula>
    </cfRule>
    <cfRule type="cellIs" dxfId="175" priority="9" stopIfTrue="1" operator="between">
      <formula>$F3*2</formula>
      <formula>$F3*2.5</formula>
    </cfRule>
  </conditionalFormatting>
  <conditionalFormatting sqref="G54">
    <cfRule type="cellIs" dxfId="174" priority="6" stopIfTrue="1" operator="greaterThan">
      <formula>2.5</formula>
    </cfRule>
    <cfRule type="cellIs" dxfId="173" priority="7" stopIfTrue="1" operator="between">
      <formula>2.01</formula>
      <formula>2.5</formula>
    </cfRule>
  </conditionalFormatting>
  <conditionalFormatting sqref="H3:H53">
    <cfRule type="cellIs" dxfId="172" priority="5" stopIfTrue="1" operator="lessThan">
      <formula>1</formula>
    </cfRule>
  </conditionalFormatting>
  <conditionalFormatting sqref="G3:G53">
    <cfRule type="cellIs" dxfId="171" priority="3" stopIfTrue="1" operator="greaterThan">
      <formula>2.5</formula>
    </cfRule>
    <cfRule type="cellIs" dxfId="170" priority="4" stopIfTrue="1" operator="between">
      <formula>2.01</formula>
      <formula>2.5</formula>
    </cfRule>
  </conditionalFormatting>
  <conditionalFormatting sqref="K3:K52">
    <cfRule type="cellIs" dxfId="169" priority="1" stopIfTrue="1" operator="greaterThan">
      <formula>$F3*2.5</formula>
    </cfRule>
    <cfRule type="cellIs" dxfId="168"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16803-1CC6-47A6-8B3D-2428CA04D801}">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106</v>
      </c>
      <c r="B1" s="178" t="s">
        <v>107</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22</v>
      </c>
      <c r="B3" s="13">
        <v>722479384.32000005</v>
      </c>
      <c r="C3" s="13">
        <v>642861426.57000005</v>
      </c>
      <c r="D3" s="13">
        <v>79617957.75</v>
      </c>
      <c r="E3" s="13">
        <v>12436108.189999999</v>
      </c>
      <c r="F3" s="13">
        <v>13783001</v>
      </c>
      <c r="G3" s="14">
        <v>5.78</v>
      </c>
      <c r="H3" s="14">
        <v>0.9</v>
      </c>
      <c r="I3" s="13">
        <v>1036342.3491666666</v>
      </c>
      <c r="J3" s="15">
        <v>6</v>
      </c>
      <c r="K3" s="13">
        <v>73399903.655000001</v>
      </c>
      <c r="L3" s="13">
        <v>8675325.958333334</v>
      </c>
      <c r="M3" s="13">
        <v>7526742.541666667</v>
      </c>
      <c r="N3" s="179">
        <v>43647</v>
      </c>
      <c r="O3" s="16">
        <v>45839</v>
      </c>
      <c r="P3" s="13">
        <v>1108955.6399999999</v>
      </c>
      <c r="Q3" s="223" t="e">
        <v>#VALUE!</v>
      </c>
    </row>
    <row r="4" spans="1:17" x14ac:dyDescent="0.2">
      <c r="A4" s="4" t="s">
        <v>21</v>
      </c>
      <c r="B4" s="13">
        <v>1834758280.3599999</v>
      </c>
      <c r="C4" s="13">
        <v>1569599164.95</v>
      </c>
      <c r="D4" s="13">
        <v>265159115.40999985</v>
      </c>
      <c r="E4" s="13">
        <v>44884116.549999997</v>
      </c>
      <c r="F4" s="13">
        <v>46162390</v>
      </c>
      <c r="G4" s="14">
        <v>5.74</v>
      </c>
      <c r="H4" s="14">
        <v>0.97</v>
      </c>
      <c r="I4" s="13">
        <v>3740343.0458333329</v>
      </c>
      <c r="J4" s="15">
        <v>0</v>
      </c>
      <c r="K4" s="13">
        <v>265159115.40999985</v>
      </c>
      <c r="L4" s="13" t="s">
        <v>20</v>
      </c>
      <c r="M4" s="13" t="s">
        <v>20</v>
      </c>
      <c r="N4" s="179">
        <v>43831</v>
      </c>
      <c r="O4" s="16">
        <v>45658</v>
      </c>
      <c r="P4" s="13">
        <v>2022189.15</v>
      </c>
      <c r="Q4" s="222" t="e">
        <v>#VALUE!</v>
      </c>
    </row>
    <row r="5" spans="1:17" x14ac:dyDescent="0.2">
      <c r="A5" s="4" t="s">
        <v>24</v>
      </c>
      <c r="B5" s="13">
        <v>1503333344.97</v>
      </c>
      <c r="C5" s="13">
        <v>1312640559.4100001</v>
      </c>
      <c r="D5" s="13">
        <v>190692785.55999994</v>
      </c>
      <c r="E5" s="13">
        <v>19826291.030000001</v>
      </c>
      <c r="F5" s="13">
        <v>34090474</v>
      </c>
      <c r="G5" s="14">
        <v>5.59</v>
      </c>
      <c r="H5" s="14">
        <v>0.57999999999999996</v>
      </c>
      <c r="I5" s="13">
        <v>1652190.9191666667</v>
      </c>
      <c r="J5" s="15">
        <v>6</v>
      </c>
      <c r="K5" s="13">
        <v>180779640.04499996</v>
      </c>
      <c r="L5" s="13">
        <v>20418639.593333323</v>
      </c>
      <c r="M5" s="13">
        <v>17577766.75999999</v>
      </c>
      <c r="N5" s="179">
        <v>43647</v>
      </c>
      <c r="O5" s="16">
        <v>45839</v>
      </c>
      <c r="P5" s="13">
        <v>5892902.1600000001</v>
      </c>
      <c r="Q5" s="222" t="e">
        <v>#VALUE!</v>
      </c>
    </row>
    <row r="6" spans="1:17" x14ac:dyDescent="0.2">
      <c r="A6" s="4" t="s">
        <v>19</v>
      </c>
      <c r="B6" s="13">
        <v>1137390436.8499999</v>
      </c>
      <c r="C6" s="13">
        <v>1005977747.65</v>
      </c>
      <c r="D6" s="13">
        <v>131412689.19999993</v>
      </c>
      <c r="E6" s="13">
        <v>24534908.300000001</v>
      </c>
      <c r="F6" s="13">
        <v>24778539</v>
      </c>
      <c r="G6" s="14">
        <v>5.3</v>
      </c>
      <c r="H6" s="14">
        <v>0.99</v>
      </c>
      <c r="I6" s="13">
        <v>2044575.6916666667</v>
      </c>
      <c r="J6" s="15">
        <v>6</v>
      </c>
      <c r="K6" s="13">
        <v>119145235.04999992</v>
      </c>
      <c r="L6" s="13">
        <v>13642601.866666654</v>
      </c>
      <c r="M6" s="13">
        <v>11577723.616666654</v>
      </c>
      <c r="N6" s="179">
        <v>43647</v>
      </c>
      <c r="O6" s="16">
        <v>45839</v>
      </c>
      <c r="P6" s="13">
        <v>723519.45</v>
      </c>
      <c r="Q6" s="222" t="e">
        <v>#VALUE!</v>
      </c>
    </row>
    <row r="7" spans="1:17" x14ac:dyDescent="0.2">
      <c r="A7" s="4" t="s">
        <v>26</v>
      </c>
      <c r="B7" s="13">
        <v>124445693.39</v>
      </c>
      <c r="C7" s="13">
        <v>106607504.84</v>
      </c>
      <c r="D7" s="13">
        <v>17838188.549999997</v>
      </c>
      <c r="E7" s="13">
        <v>2301259.2000000002</v>
      </c>
      <c r="F7" s="13">
        <v>3545933</v>
      </c>
      <c r="G7" s="14">
        <v>5.03</v>
      </c>
      <c r="H7" s="14">
        <v>0.65</v>
      </c>
      <c r="I7" s="13">
        <v>191771.6</v>
      </c>
      <c r="J7" s="15">
        <v>0</v>
      </c>
      <c r="K7" s="13">
        <v>17838188.549999997</v>
      </c>
      <c r="L7" s="13" t="s">
        <v>20</v>
      </c>
      <c r="M7" s="13" t="s">
        <v>20</v>
      </c>
      <c r="N7" s="179">
        <v>43831</v>
      </c>
      <c r="O7" s="16">
        <v>45658</v>
      </c>
      <c r="P7" s="13">
        <v>651135.25</v>
      </c>
      <c r="Q7" s="222" t="e">
        <v>#VALUE!</v>
      </c>
    </row>
    <row r="8" spans="1:17" x14ac:dyDescent="0.2">
      <c r="A8" s="4" t="s">
        <v>32</v>
      </c>
      <c r="B8" s="13">
        <v>1194130799.73</v>
      </c>
      <c r="C8" s="13">
        <v>1075664199.51</v>
      </c>
      <c r="D8" s="13">
        <v>118466600.22000003</v>
      </c>
      <c r="E8" s="13">
        <v>20648000.620000001</v>
      </c>
      <c r="F8" s="13">
        <v>25988523</v>
      </c>
      <c r="G8" s="14">
        <v>4.5599999999999996</v>
      </c>
      <c r="H8" s="14">
        <v>0.79</v>
      </c>
      <c r="I8" s="13">
        <v>1720666.7183333335</v>
      </c>
      <c r="J8" s="15">
        <v>6</v>
      </c>
      <c r="K8" s="13">
        <v>108142599.91000003</v>
      </c>
      <c r="L8" s="13">
        <v>11081592.370000005</v>
      </c>
      <c r="M8" s="13">
        <v>8915882.1200000048</v>
      </c>
      <c r="N8" s="179">
        <v>43647</v>
      </c>
      <c r="O8" s="16">
        <v>45839</v>
      </c>
      <c r="P8" s="13">
        <v>1134595</v>
      </c>
      <c r="Q8" s="222" t="e">
        <v>#VALUE!</v>
      </c>
    </row>
    <row r="9" spans="1:17" x14ac:dyDescent="0.2">
      <c r="A9" s="4" t="s">
        <v>27</v>
      </c>
      <c r="B9" s="13">
        <v>872347192</v>
      </c>
      <c r="C9" s="13">
        <v>785817873.26999998</v>
      </c>
      <c r="D9" s="13">
        <v>86529318.730000019</v>
      </c>
      <c r="E9" s="13">
        <v>17410558.09</v>
      </c>
      <c r="F9" s="13">
        <v>19090913</v>
      </c>
      <c r="G9" s="14">
        <v>4.53</v>
      </c>
      <c r="H9" s="14">
        <v>0.91</v>
      </c>
      <c r="I9" s="13">
        <v>1450879.8408333333</v>
      </c>
      <c r="J9" s="15">
        <v>9</v>
      </c>
      <c r="K9" s="13">
        <v>73471400.162500024</v>
      </c>
      <c r="L9" s="13">
        <v>5371943.6366666686</v>
      </c>
      <c r="M9" s="13">
        <v>4311337.3588888906</v>
      </c>
      <c r="N9" s="179">
        <v>43739</v>
      </c>
      <c r="O9" s="16">
        <v>45931</v>
      </c>
      <c r="P9" s="13">
        <v>2631296.89</v>
      </c>
      <c r="Q9" s="222" t="e">
        <v>#VALUE!</v>
      </c>
    </row>
    <row r="10" spans="1:17" x14ac:dyDescent="0.2">
      <c r="A10" s="4" t="s">
        <v>37</v>
      </c>
      <c r="B10" s="13">
        <v>190999038.36000001</v>
      </c>
      <c r="C10" s="13">
        <v>175212672.81999999</v>
      </c>
      <c r="D10" s="13">
        <v>15786365.540000021</v>
      </c>
      <c r="E10" s="13">
        <v>3459160.48</v>
      </c>
      <c r="F10" s="13">
        <v>3551615</v>
      </c>
      <c r="G10" s="14">
        <v>4.4400000000000004</v>
      </c>
      <c r="H10" s="14">
        <v>0.97</v>
      </c>
      <c r="I10" s="13">
        <v>288263.37333333335</v>
      </c>
      <c r="J10" s="15">
        <v>6</v>
      </c>
      <c r="K10" s="13">
        <v>14056785.300000021</v>
      </c>
      <c r="L10" s="13">
        <v>1447189.2566666703</v>
      </c>
      <c r="M10" s="13">
        <v>1151221.3400000036</v>
      </c>
      <c r="N10" s="179">
        <v>43647</v>
      </c>
      <c r="O10" s="16">
        <v>45839</v>
      </c>
      <c r="P10" s="13">
        <v>1238126.8</v>
      </c>
      <c r="Q10" s="222" t="e">
        <v>#VALUE!</v>
      </c>
    </row>
    <row r="11" spans="1:17" x14ac:dyDescent="0.2">
      <c r="A11" s="4" t="s">
        <v>28</v>
      </c>
      <c r="B11" s="13">
        <v>1966895481</v>
      </c>
      <c r="C11" s="13">
        <v>1870050540.4000001</v>
      </c>
      <c r="D11" s="13">
        <v>96844940.599999905</v>
      </c>
      <c r="E11" s="13">
        <v>22090969.300000001</v>
      </c>
      <c r="F11" s="13">
        <v>21788490</v>
      </c>
      <c r="G11" s="14">
        <v>4.4400000000000004</v>
      </c>
      <c r="H11" s="14">
        <v>1.01</v>
      </c>
      <c r="I11" s="13">
        <v>1840914.1083333334</v>
      </c>
      <c r="J11" s="15">
        <v>6</v>
      </c>
      <c r="K11" s="13">
        <v>85799455.949999899</v>
      </c>
      <c r="L11" s="13">
        <v>8877993.4333333168</v>
      </c>
      <c r="M11" s="13">
        <v>7062285.9333333177</v>
      </c>
      <c r="N11" s="179">
        <v>43647</v>
      </c>
      <c r="O11" s="16">
        <v>45839</v>
      </c>
      <c r="P11" s="13">
        <v>3577198.18</v>
      </c>
      <c r="Q11" s="222" t="e">
        <v>#VALUE!</v>
      </c>
    </row>
    <row r="12" spans="1:17" x14ac:dyDescent="0.2">
      <c r="A12" s="4" t="s">
        <v>39</v>
      </c>
      <c r="B12" s="13">
        <v>511163315.91000003</v>
      </c>
      <c r="C12" s="13">
        <v>464265812.19</v>
      </c>
      <c r="D12" s="13">
        <v>46897503.720000029</v>
      </c>
      <c r="E12" s="13">
        <v>4433427.82</v>
      </c>
      <c r="F12" s="13">
        <v>10598087</v>
      </c>
      <c r="G12" s="14">
        <v>4.43</v>
      </c>
      <c r="H12" s="14">
        <v>0.42</v>
      </c>
      <c r="I12" s="13">
        <v>369452.31833333336</v>
      </c>
      <c r="J12" s="15">
        <v>6</v>
      </c>
      <c r="K12" s="13">
        <v>44680789.810000032</v>
      </c>
      <c r="L12" s="13">
        <v>4283554.9533333378</v>
      </c>
      <c r="M12" s="13">
        <v>3400381.0366666713</v>
      </c>
      <c r="N12" s="179">
        <v>43647</v>
      </c>
      <c r="O12" s="16">
        <v>45839</v>
      </c>
      <c r="P12" s="13">
        <v>222430.37</v>
      </c>
      <c r="Q12" s="222" t="e">
        <v>#VALUE!</v>
      </c>
    </row>
    <row r="13" spans="1:17" x14ac:dyDescent="0.2">
      <c r="A13" s="4" t="s">
        <v>35</v>
      </c>
      <c r="B13" s="13">
        <v>813673223</v>
      </c>
      <c r="C13" s="13">
        <v>729491809.11000001</v>
      </c>
      <c r="D13" s="13">
        <v>84181413.889999986</v>
      </c>
      <c r="E13" s="13">
        <v>14081265.939999999</v>
      </c>
      <c r="F13" s="13">
        <v>19453948</v>
      </c>
      <c r="G13" s="14">
        <v>4.33</v>
      </c>
      <c r="H13" s="14">
        <v>0.72</v>
      </c>
      <c r="I13" s="13">
        <v>1173438.8283333334</v>
      </c>
      <c r="J13" s="15">
        <v>6</v>
      </c>
      <c r="K13" s="13">
        <v>77140780.919999987</v>
      </c>
      <c r="L13" s="13">
        <v>7545586.3149999976</v>
      </c>
      <c r="M13" s="13">
        <v>5924423.9816666646</v>
      </c>
      <c r="N13" s="179">
        <v>43647</v>
      </c>
      <c r="O13" s="16">
        <v>45839</v>
      </c>
      <c r="P13" s="13">
        <v>1156035.03</v>
      </c>
      <c r="Q13" s="222" t="e">
        <v>#VALUE!</v>
      </c>
    </row>
    <row r="14" spans="1:17" x14ac:dyDescent="0.2">
      <c r="A14" s="4" t="s">
        <v>34</v>
      </c>
      <c r="B14" s="13">
        <v>1468177330.9100001</v>
      </c>
      <c r="C14" s="13">
        <v>1340572103.54</v>
      </c>
      <c r="D14" s="13">
        <v>127605227.37000012</v>
      </c>
      <c r="E14" s="13">
        <v>32441152.960000001</v>
      </c>
      <c r="F14" s="13">
        <v>29748591</v>
      </c>
      <c r="G14" s="14">
        <v>4.29</v>
      </c>
      <c r="H14" s="14">
        <v>1.0900000000000001</v>
      </c>
      <c r="I14" s="13">
        <v>2703429.4133333336</v>
      </c>
      <c r="J14" s="15">
        <v>6</v>
      </c>
      <c r="K14" s="13">
        <v>111384650.89000012</v>
      </c>
      <c r="L14" s="13">
        <v>11351340.89500002</v>
      </c>
      <c r="M14" s="13">
        <v>8872291.64500002</v>
      </c>
      <c r="N14" s="179">
        <v>43647</v>
      </c>
      <c r="O14" s="16">
        <v>45839</v>
      </c>
      <c r="P14" s="13">
        <v>3542961.78</v>
      </c>
      <c r="Q14" s="222" t="e">
        <v>#VALUE!</v>
      </c>
    </row>
    <row r="15" spans="1:17" x14ac:dyDescent="0.2">
      <c r="A15" s="4" t="s">
        <v>47</v>
      </c>
      <c r="B15" s="13">
        <v>107063879</v>
      </c>
      <c r="C15" s="13">
        <v>95677442.549999997</v>
      </c>
      <c r="D15" s="13">
        <v>11386436.450000003</v>
      </c>
      <c r="E15" s="13">
        <v>1453315.95</v>
      </c>
      <c r="F15" s="13">
        <v>2669761</v>
      </c>
      <c r="G15" s="14">
        <v>4.26</v>
      </c>
      <c r="H15" s="14">
        <v>0.54</v>
      </c>
      <c r="I15" s="13">
        <v>121109.66249999999</v>
      </c>
      <c r="J15" s="15">
        <v>6</v>
      </c>
      <c r="K15" s="13">
        <v>10659778.475000003</v>
      </c>
      <c r="L15" s="13">
        <v>1007819.0750000005</v>
      </c>
      <c r="M15" s="13">
        <v>785338.99166666716</v>
      </c>
      <c r="N15" s="179">
        <v>43647</v>
      </c>
      <c r="O15" s="16">
        <v>45839</v>
      </c>
      <c r="P15" s="13">
        <v>47691.33</v>
      </c>
      <c r="Q15" s="222" t="e">
        <v>#VALUE!</v>
      </c>
    </row>
    <row r="16" spans="1:17" x14ac:dyDescent="0.2">
      <c r="A16" s="4" t="s">
        <v>30</v>
      </c>
      <c r="B16" s="13">
        <v>1042589157.45</v>
      </c>
      <c r="C16" s="13">
        <v>963595068.20000005</v>
      </c>
      <c r="D16" s="13">
        <v>78994089.25</v>
      </c>
      <c r="E16" s="13">
        <v>23374053.34</v>
      </c>
      <c r="F16" s="13">
        <v>20158365</v>
      </c>
      <c r="G16" s="14">
        <v>3.92</v>
      </c>
      <c r="H16" s="14">
        <v>1.1599999999999999</v>
      </c>
      <c r="I16" s="13">
        <v>1947837.7783333333</v>
      </c>
      <c r="J16" s="15">
        <v>3</v>
      </c>
      <c r="K16" s="13">
        <v>73150575.915000007</v>
      </c>
      <c r="L16" s="13">
        <v>12892453.083333334</v>
      </c>
      <c r="M16" s="13">
        <v>9532725.583333334</v>
      </c>
      <c r="N16" s="179">
        <v>43922</v>
      </c>
      <c r="O16" s="16">
        <v>45748</v>
      </c>
      <c r="P16" s="13">
        <v>2097630</v>
      </c>
      <c r="Q16" s="222" t="e">
        <v>#VALUE!</v>
      </c>
    </row>
    <row r="17" spans="1:17" x14ac:dyDescent="0.2">
      <c r="A17" s="4" t="s">
        <v>33</v>
      </c>
      <c r="B17" s="13">
        <v>1033187132</v>
      </c>
      <c r="C17" s="13">
        <v>946643379.98000002</v>
      </c>
      <c r="D17" s="13">
        <v>86543752.019999981</v>
      </c>
      <c r="E17" s="13">
        <v>24838430.73</v>
      </c>
      <c r="F17" s="13">
        <v>22862412</v>
      </c>
      <c r="G17" s="14">
        <v>3.79</v>
      </c>
      <c r="H17" s="14">
        <v>1.0900000000000001</v>
      </c>
      <c r="I17" s="13">
        <v>2069869.2275</v>
      </c>
      <c r="J17" s="15">
        <v>3</v>
      </c>
      <c r="K17" s="13">
        <v>80334144.337499976</v>
      </c>
      <c r="L17" s="13">
        <v>13606309.339999994</v>
      </c>
      <c r="M17" s="13">
        <v>9795907.3399999943</v>
      </c>
      <c r="N17" s="179">
        <v>43922</v>
      </c>
      <c r="O17" s="16">
        <v>45748</v>
      </c>
      <c r="P17" s="13">
        <v>4255144.58</v>
      </c>
      <c r="Q17" s="222" t="e">
        <v>#VALUE!</v>
      </c>
    </row>
    <row r="18" spans="1:17" x14ac:dyDescent="0.2">
      <c r="A18" s="4" t="s">
        <v>23</v>
      </c>
      <c r="B18" s="13">
        <v>1336269126.0599999</v>
      </c>
      <c r="C18" s="13">
        <v>1227680907.0799999</v>
      </c>
      <c r="D18" s="13">
        <v>108588218.98000002</v>
      </c>
      <c r="E18" s="13">
        <v>48586224.399999999</v>
      </c>
      <c r="F18" s="13">
        <v>29074134</v>
      </c>
      <c r="G18" s="14">
        <v>3.73</v>
      </c>
      <c r="H18" s="14">
        <v>1.67</v>
      </c>
      <c r="I18" s="13">
        <v>4048852.0333333332</v>
      </c>
      <c r="J18" s="15">
        <v>0</v>
      </c>
      <c r="K18" s="13">
        <v>108588218.98000002</v>
      </c>
      <c r="L18" s="13" t="s">
        <v>20</v>
      </c>
      <c r="M18" s="13" t="s">
        <v>20</v>
      </c>
      <c r="N18" s="179">
        <v>43831</v>
      </c>
      <c r="O18" s="16">
        <v>45658</v>
      </c>
      <c r="P18" s="13">
        <v>9638965.8000000007</v>
      </c>
      <c r="Q18" s="222" t="e">
        <v>#VALUE!</v>
      </c>
    </row>
    <row r="19" spans="1:17" x14ac:dyDescent="0.2">
      <c r="A19" s="4" t="s">
        <v>31</v>
      </c>
      <c r="B19" s="13">
        <v>493558716</v>
      </c>
      <c r="C19" s="13">
        <v>453288500.88999999</v>
      </c>
      <c r="D19" s="13">
        <v>40270215.110000014</v>
      </c>
      <c r="E19" s="13">
        <v>9537032.5099999998</v>
      </c>
      <c r="F19" s="13">
        <v>11038481</v>
      </c>
      <c r="G19" s="14">
        <v>3.65</v>
      </c>
      <c r="H19" s="14">
        <v>0.86</v>
      </c>
      <c r="I19" s="13">
        <v>794752.70916666661</v>
      </c>
      <c r="J19" s="15">
        <v>0</v>
      </c>
      <c r="K19" s="13">
        <v>40270215.110000014</v>
      </c>
      <c r="L19" s="13" t="s">
        <v>20</v>
      </c>
      <c r="M19" s="13" t="s">
        <v>20</v>
      </c>
      <c r="N19" s="179">
        <v>43831</v>
      </c>
      <c r="O19" s="16">
        <v>45658</v>
      </c>
      <c r="P19" s="13">
        <v>973734.64</v>
      </c>
      <c r="Q19" s="222" t="e">
        <v>#VALUE!</v>
      </c>
    </row>
    <row r="20" spans="1:17" x14ac:dyDescent="0.2">
      <c r="A20" s="4" t="s">
        <v>45</v>
      </c>
      <c r="B20" s="13">
        <v>2041893568.29</v>
      </c>
      <c r="C20" s="13">
        <v>1893977875.48</v>
      </c>
      <c r="D20" s="13">
        <v>147915692.80999994</v>
      </c>
      <c r="E20" s="13">
        <v>35280513.039999999</v>
      </c>
      <c r="F20" s="13">
        <v>40828727</v>
      </c>
      <c r="G20" s="14">
        <v>3.62</v>
      </c>
      <c r="H20" s="14">
        <v>0.86</v>
      </c>
      <c r="I20" s="13">
        <v>2940042.7533333334</v>
      </c>
      <c r="J20" s="15">
        <v>0</v>
      </c>
      <c r="K20" s="13">
        <v>147915692.80999994</v>
      </c>
      <c r="L20" s="13" t="s">
        <v>20</v>
      </c>
      <c r="M20" s="13" t="s">
        <v>20</v>
      </c>
      <c r="N20" s="179">
        <v>43831</v>
      </c>
      <c r="O20" s="16">
        <v>45658</v>
      </c>
      <c r="P20" s="13">
        <v>3460973.11</v>
      </c>
      <c r="Q20" s="222" t="e">
        <v>#VALUE!</v>
      </c>
    </row>
    <row r="21" spans="1:17" x14ac:dyDescent="0.2">
      <c r="A21" s="4" t="s">
        <v>41</v>
      </c>
      <c r="B21" s="13">
        <v>1276422533.53</v>
      </c>
      <c r="C21" s="13">
        <v>1107407135.1600001</v>
      </c>
      <c r="D21" s="13">
        <v>169015398.36999989</v>
      </c>
      <c r="E21" s="13">
        <v>41510165.170000002</v>
      </c>
      <c r="F21" s="13">
        <v>47644860</v>
      </c>
      <c r="G21" s="14">
        <v>3.55</v>
      </c>
      <c r="H21" s="14">
        <v>0.87</v>
      </c>
      <c r="I21" s="13">
        <v>3459180.4308333336</v>
      </c>
      <c r="J21" s="15">
        <v>0</v>
      </c>
      <c r="K21" s="13">
        <v>169015398.36999989</v>
      </c>
      <c r="L21" s="13" t="s">
        <v>20</v>
      </c>
      <c r="M21" s="13" t="s">
        <v>20</v>
      </c>
      <c r="N21" s="179">
        <v>43831</v>
      </c>
      <c r="O21" s="16">
        <v>45658</v>
      </c>
      <c r="P21" s="13">
        <v>4474957.21</v>
      </c>
      <c r="Q21" s="222" t="e">
        <v>#VALUE!</v>
      </c>
    </row>
    <row r="22" spans="1:17" x14ac:dyDescent="0.2">
      <c r="A22" s="4" t="s">
        <v>51</v>
      </c>
      <c r="B22" s="13">
        <v>1083940953</v>
      </c>
      <c r="C22" s="13">
        <v>999527230.72000003</v>
      </c>
      <c r="D22" s="13">
        <v>84413722.279999971</v>
      </c>
      <c r="E22" s="13">
        <v>21812926.09</v>
      </c>
      <c r="F22" s="13">
        <v>24208645</v>
      </c>
      <c r="G22" s="14">
        <v>3.49</v>
      </c>
      <c r="H22" s="14">
        <v>0.9</v>
      </c>
      <c r="I22" s="13">
        <v>1817743.8408333333</v>
      </c>
      <c r="J22" s="15">
        <v>0</v>
      </c>
      <c r="K22" s="13">
        <v>84413722.279999971</v>
      </c>
      <c r="L22" s="13" t="s">
        <v>20</v>
      </c>
      <c r="M22" s="13" t="s">
        <v>20</v>
      </c>
      <c r="N22" s="179">
        <v>43831</v>
      </c>
      <c r="O22" s="16">
        <v>45658</v>
      </c>
      <c r="P22" s="13">
        <v>2769887.53</v>
      </c>
      <c r="Q22" s="222" t="e">
        <v>#VALUE!</v>
      </c>
    </row>
    <row r="23" spans="1:17" x14ac:dyDescent="0.2">
      <c r="A23" s="4" t="s">
        <v>55</v>
      </c>
      <c r="B23" s="13">
        <v>689945660</v>
      </c>
      <c r="C23" s="13">
        <v>638588812.97000003</v>
      </c>
      <c r="D23" s="13">
        <v>51356847.029999971</v>
      </c>
      <c r="E23" s="13">
        <v>9870695.4100000001</v>
      </c>
      <c r="F23" s="13">
        <v>14901309</v>
      </c>
      <c r="G23" s="14">
        <v>3.45</v>
      </c>
      <c r="H23" s="14">
        <v>0.66</v>
      </c>
      <c r="I23" s="13">
        <v>822557.95083333331</v>
      </c>
      <c r="J23" s="15">
        <v>0</v>
      </c>
      <c r="K23" s="13">
        <v>51356847.029999971</v>
      </c>
      <c r="L23" s="13" t="s">
        <v>20</v>
      </c>
      <c r="M23" s="13" t="s">
        <v>20</v>
      </c>
      <c r="N23" s="179">
        <v>43466</v>
      </c>
      <c r="O23" s="16">
        <v>45658</v>
      </c>
      <c r="P23" s="13">
        <v>249777.39</v>
      </c>
      <c r="Q23" s="222" t="e">
        <v>#VALUE!</v>
      </c>
    </row>
    <row r="24" spans="1:17" x14ac:dyDescent="0.2">
      <c r="A24" s="4" t="s">
        <v>25</v>
      </c>
      <c r="B24" s="13">
        <v>265120500</v>
      </c>
      <c r="C24" s="13">
        <v>244410555.06999999</v>
      </c>
      <c r="D24" s="13">
        <v>20709944.930000007</v>
      </c>
      <c r="E24" s="13">
        <v>8613502.7599999998</v>
      </c>
      <c r="F24" s="13">
        <v>6172506</v>
      </c>
      <c r="G24" s="14">
        <v>3.36</v>
      </c>
      <c r="H24" s="14">
        <v>1.4</v>
      </c>
      <c r="I24" s="13">
        <v>717791.89666666661</v>
      </c>
      <c r="J24" s="15">
        <v>3</v>
      </c>
      <c r="K24" s="13">
        <v>18556569.240000006</v>
      </c>
      <c r="L24" s="13">
        <v>2788310.9766666689</v>
      </c>
      <c r="M24" s="13">
        <v>1759559.9766666691</v>
      </c>
      <c r="N24" s="179">
        <v>43922</v>
      </c>
      <c r="O24" s="16">
        <v>45748</v>
      </c>
      <c r="P24" s="13">
        <v>653062.81999999995</v>
      </c>
      <c r="Q24" s="222" t="e">
        <v>#VALUE!</v>
      </c>
    </row>
    <row r="25" spans="1:17" x14ac:dyDescent="0.2">
      <c r="A25" s="4" t="s">
        <v>50</v>
      </c>
      <c r="B25" s="13">
        <v>1683242657.0699999</v>
      </c>
      <c r="C25" s="13">
        <v>1547192238.45</v>
      </c>
      <c r="D25" s="13">
        <v>136050418.61999989</v>
      </c>
      <c r="E25" s="13">
        <v>39967294.280000001</v>
      </c>
      <c r="F25" s="13">
        <v>40945091</v>
      </c>
      <c r="G25" s="14">
        <v>3.32</v>
      </c>
      <c r="H25" s="14">
        <v>0.98</v>
      </c>
      <c r="I25" s="13">
        <v>3330607.8566666669</v>
      </c>
      <c r="J25" s="15">
        <v>6</v>
      </c>
      <c r="K25" s="13">
        <v>116066771.47999988</v>
      </c>
      <c r="L25" s="13">
        <v>9026706.1033333149</v>
      </c>
      <c r="M25" s="13">
        <v>5614615.1866666479</v>
      </c>
      <c r="N25" s="179">
        <v>43647</v>
      </c>
      <c r="O25" s="16">
        <v>45839</v>
      </c>
      <c r="P25" s="13">
        <v>3601266.62</v>
      </c>
      <c r="Q25" s="222" t="e">
        <v>#VALUE!</v>
      </c>
    </row>
    <row r="26" spans="1:17" x14ac:dyDescent="0.2">
      <c r="A26" s="4" t="s">
        <v>56</v>
      </c>
      <c r="B26" s="13">
        <v>1182377479</v>
      </c>
      <c r="C26" s="13">
        <v>1092595510.48</v>
      </c>
      <c r="D26" s="13">
        <v>89781968.519999981</v>
      </c>
      <c r="E26" s="13">
        <v>22904723.710000001</v>
      </c>
      <c r="F26" s="13">
        <v>27472066</v>
      </c>
      <c r="G26" s="14">
        <v>3.27</v>
      </c>
      <c r="H26" s="14">
        <v>0.83</v>
      </c>
      <c r="I26" s="13">
        <v>1908726.9758333333</v>
      </c>
      <c r="J26" s="15">
        <v>6</v>
      </c>
      <c r="K26" s="13">
        <v>78329606.664999977</v>
      </c>
      <c r="L26" s="13">
        <v>5806306.0866666632</v>
      </c>
      <c r="M26" s="13">
        <v>3516967.2533333302</v>
      </c>
      <c r="N26" s="179">
        <v>43647</v>
      </c>
      <c r="O26" s="16">
        <v>45839</v>
      </c>
      <c r="P26" s="13">
        <v>797438.9</v>
      </c>
      <c r="Q26" s="222" t="e">
        <v>#VALUE!</v>
      </c>
    </row>
    <row r="27" spans="1:17" x14ac:dyDescent="0.2">
      <c r="A27" s="4" t="s">
        <v>40</v>
      </c>
      <c r="B27" s="13">
        <v>203184641.25</v>
      </c>
      <c r="C27" s="13">
        <v>185336003.09999999</v>
      </c>
      <c r="D27" s="13">
        <v>17848638.150000006</v>
      </c>
      <c r="E27" s="13">
        <v>9512423.3800000008</v>
      </c>
      <c r="F27" s="13">
        <v>5655134</v>
      </c>
      <c r="G27" s="14">
        <v>3.16</v>
      </c>
      <c r="H27" s="14">
        <v>1.68</v>
      </c>
      <c r="I27" s="13">
        <v>792701.94833333336</v>
      </c>
      <c r="J27" s="15">
        <v>6</v>
      </c>
      <c r="K27" s="13">
        <v>13092426.460000005</v>
      </c>
      <c r="L27" s="13">
        <v>1089728.3583333343</v>
      </c>
      <c r="M27" s="13" t="s">
        <v>42</v>
      </c>
      <c r="N27" s="179">
        <v>43647</v>
      </c>
      <c r="O27" s="16">
        <v>45839</v>
      </c>
      <c r="P27" s="13">
        <v>19529.43</v>
      </c>
      <c r="Q27" s="222" t="e">
        <v>#VALUE!</v>
      </c>
    </row>
    <row r="28" spans="1:17" x14ac:dyDescent="0.2">
      <c r="A28" s="4" t="s">
        <v>64</v>
      </c>
      <c r="B28" s="13">
        <v>355494147</v>
      </c>
      <c r="C28" s="13">
        <v>325942271.19</v>
      </c>
      <c r="D28" s="13">
        <v>29551875.810000002</v>
      </c>
      <c r="E28" s="13">
        <v>6410195.9299999997</v>
      </c>
      <c r="F28" s="13">
        <v>9435207</v>
      </c>
      <c r="G28" s="14">
        <v>3.13</v>
      </c>
      <c r="H28" s="14">
        <v>0.68</v>
      </c>
      <c r="I28" s="13">
        <v>534182.99416666664</v>
      </c>
      <c r="J28" s="15">
        <v>0</v>
      </c>
      <c r="K28" s="13">
        <v>29551875.810000002</v>
      </c>
      <c r="L28" s="13" t="s">
        <v>20</v>
      </c>
      <c r="M28" s="13" t="s">
        <v>20</v>
      </c>
      <c r="N28" s="179">
        <v>43831</v>
      </c>
      <c r="O28" s="16">
        <v>45658</v>
      </c>
      <c r="P28" s="13">
        <v>824038.24</v>
      </c>
      <c r="Q28" s="222" t="e">
        <v>#VALUE!</v>
      </c>
    </row>
    <row r="29" spans="1:17" x14ac:dyDescent="0.2">
      <c r="A29" s="4" t="s">
        <v>52</v>
      </c>
      <c r="B29" s="13">
        <v>535148479</v>
      </c>
      <c r="C29" s="13">
        <v>494871175.43000001</v>
      </c>
      <c r="D29" s="13">
        <v>40277303.569999993</v>
      </c>
      <c r="E29" s="13">
        <v>11291479.98</v>
      </c>
      <c r="F29" s="13">
        <v>13099382</v>
      </c>
      <c r="G29" s="14">
        <v>3.07</v>
      </c>
      <c r="H29" s="14">
        <v>0.86</v>
      </c>
      <c r="I29" s="13">
        <v>940956.66500000004</v>
      </c>
      <c r="J29" s="15">
        <v>6</v>
      </c>
      <c r="K29" s="13">
        <v>34631563.579999991</v>
      </c>
      <c r="L29" s="13">
        <v>2346423.2616666653</v>
      </c>
      <c r="M29" s="13">
        <v>1254808.0949999988</v>
      </c>
      <c r="N29" s="179">
        <v>43647</v>
      </c>
      <c r="O29" s="16">
        <v>45839</v>
      </c>
      <c r="P29" s="13">
        <v>869043.9</v>
      </c>
      <c r="Q29" s="222" t="e">
        <v>#VALUE!</v>
      </c>
    </row>
    <row r="30" spans="1:17" x14ac:dyDescent="0.2">
      <c r="A30" s="4" t="s">
        <v>44</v>
      </c>
      <c r="B30" s="13">
        <v>300531063.24000001</v>
      </c>
      <c r="C30" s="13">
        <v>280199540.94</v>
      </c>
      <c r="D30" s="13">
        <v>20331522.300000012</v>
      </c>
      <c r="E30" s="13">
        <v>7553611.9199999999</v>
      </c>
      <c r="F30" s="13">
        <v>6730317</v>
      </c>
      <c r="G30" s="14">
        <v>3.02</v>
      </c>
      <c r="H30" s="14">
        <v>1.1200000000000001</v>
      </c>
      <c r="I30" s="13">
        <v>629467.66</v>
      </c>
      <c r="J30" s="15">
        <v>6</v>
      </c>
      <c r="K30" s="13">
        <v>16554716.340000011</v>
      </c>
      <c r="L30" s="13">
        <v>1145148.0500000019</v>
      </c>
      <c r="M30" s="13" t="s">
        <v>42</v>
      </c>
      <c r="N30" s="179">
        <v>43647</v>
      </c>
      <c r="O30" s="16">
        <v>45839</v>
      </c>
      <c r="P30" s="13">
        <v>94343.1</v>
      </c>
      <c r="Q30" s="222" t="e">
        <v>#VALUE!</v>
      </c>
    </row>
    <row r="31" spans="1:17" x14ac:dyDescent="0.2">
      <c r="A31" s="4" t="s">
        <v>63</v>
      </c>
      <c r="B31" s="13">
        <v>1340428223.5599999</v>
      </c>
      <c r="C31" s="13">
        <v>1250847949.5999999</v>
      </c>
      <c r="D31" s="13">
        <v>89580273.960000038</v>
      </c>
      <c r="E31" s="13">
        <v>23581486.670000002</v>
      </c>
      <c r="F31" s="13">
        <v>30689455</v>
      </c>
      <c r="G31" s="14">
        <v>2.92</v>
      </c>
      <c r="H31" s="14">
        <v>0.77</v>
      </c>
      <c r="I31" s="13">
        <v>1965123.8891666669</v>
      </c>
      <c r="J31" s="15">
        <v>6</v>
      </c>
      <c r="K31" s="13">
        <v>77789530.62500003</v>
      </c>
      <c r="L31" s="13">
        <v>4700227.3266666727</v>
      </c>
      <c r="M31" s="13">
        <v>2142772.7433333397</v>
      </c>
      <c r="N31" s="179">
        <v>43647</v>
      </c>
      <c r="O31" s="16">
        <v>45839</v>
      </c>
      <c r="P31" s="13">
        <v>1574028.31</v>
      </c>
      <c r="Q31" s="222" t="e">
        <v>#VALUE!</v>
      </c>
    </row>
    <row r="32" spans="1:17" x14ac:dyDescent="0.2">
      <c r="A32" s="4" t="s">
        <v>29</v>
      </c>
      <c r="B32" s="13">
        <v>799406417.05999994</v>
      </c>
      <c r="C32" s="13">
        <v>748736496.94000006</v>
      </c>
      <c r="D32" s="13">
        <v>50669920.119999886</v>
      </c>
      <c r="E32" s="13">
        <v>24840683.84</v>
      </c>
      <c r="F32" s="13">
        <v>17480755</v>
      </c>
      <c r="G32" s="14">
        <v>2.9</v>
      </c>
      <c r="H32" s="14">
        <v>1.42</v>
      </c>
      <c r="I32" s="13">
        <v>2070056.9866666666</v>
      </c>
      <c r="J32" s="15">
        <v>6</v>
      </c>
      <c r="K32" s="13">
        <v>38249578.199999884</v>
      </c>
      <c r="L32" s="13">
        <v>2618068.3533333144</v>
      </c>
      <c r="M32" s="13" t="s">
        <v>42</v>
      </c>
      <c r="N32" s="179">
        <v>43647</v>
      </c>
      <c r="O32" s="16">
        <v>45839</v>
      </c>
      <c r="P32" s="13">
        <v>1492765.04</v>
      </c>
      <c r="Q32" s="222" t="e">
        <v>#VALUE!</v>
      </c>
    </row>
    <row r="33" spans="1:17" x14ac:dyDescent="0.2">
      <c r="A33" s="4" t="s">
        <v>53</v>
      </c>
      <c r="B33" s="13">
        <v>2950491414.54</v>
      </c>
      <c r="C33" s="13">
        <v>2743880303.6199999</v>
      </c>
      <c r="D33" s="13">
        <v>206611110.92000008</v>
      </c>
      <c r="E33" s="13">
        <v>76251398.609999999</v>
      </c>
      <c r="F33" s="13">
        <v>71178309</v>
      </c>
      <c r="G33" s="14">
        <v>2.9</v>
      </c>
      <c r="H33" s="14">
        <v>1.07</v>
      </c>
      <c r="I33" s="13">
        <v>6354283.2175000003</v>
      </c>
      <c r="J33" s="15">
        <v>8</v>
      </c>
      <c r="K33" s="13">
        <v>155776845.18000007</v>
      </c>
      <c r="L33" s="13">
        <v>8031811.6150000095</v>
      </c>
      <c r="M33" s="13" t="s">
        <v>42</v>
      </c>
      <c r="N33" s="179">
        <v>44075</v>
      </c>
      <c r="O33" s="16">
        <v>45901</v>
      </c>
      <c r="P33" s="13">
        <v>4845745.84</v>
      </c>
      <c r="Q33" s="222" t="e">
        <v>#VALUE!</v>
      </c>
    </row>
    <row r="34" spans="1:17" x14ac:dyDescent="0.2">
      <c r="A34" s="4" t="s">
        <v>57</v>
      </c>
      <c r="B34" s="13">
        <v>101611843</v>
      </c>
      <c r="C34" s="13">
        <v>93468778.920000002</v>
      </c>
      <c r="D34" s="13">
        <v>8143064.0799999982</v>
      </c>
      <c r="E34" s="13">
        <v>2200756.9900000002</v>
      </c>
      <c r="F34" s="13">
        <v>2910779</v>
      </c>
      <c r="G34" s="14">
        <v>2.8</v>
      </c>
      <c r="H34" s="14">
        <v>0.76</v>
      </c>
      <c r="I34" s="13">
        <v>183396.41583333336</v>
      </c>
      <c r="J34" s="15">
        <v>6</v>
      </c>
      <c r="K34" s="13">
        <v>7042685.5849999981</v>
      </c>
      <c r="L34" s="13">
        <v>386917.6799999997</v>
      </c>
      <c r="M34" s="13" t="s">
        <v>42</v>
      </c>
      <c r="N34" s="179">
        <v>43647</v>
      </c>
      <c r="O34" s="16">
        <v>45839</v>
      </c>
      <c r="P34" s="13">
        <v>295934.81</v>
      </c>
      <c r="Q34" s="222" t="e">
        <v>#VALUE!</v>
      </c>
    </row>
    <row r="35" spans="1:17" x14ac:dyDescent="0.2">
      <c r="A35" s="4" t="s">
        <v>36</v>
      </c>
      <c r="B35" s="13">
        <v>392596167.93000001</v>
      </c>
      <c r="C35" s="13">
        <v>366834751.37</v>
      </c>
      <c r="D35" s="13">
        <v>25761416.560000002</v>
      </c>
      <c r="E35" s="13">
        <v>12853126.550000001</v>
      </c>
      <c r="F35" s="13">
        <v>9305817</v>
      </c>
      <c r="G35" s="14">
        <v>2.77</v>
      </c>
      <c r="H35" s="14">
        <v>1.38</v>
      </c>
      <c r="I35" s="13">
        <v>1071093.8791666667</v>
      </c>
      <c r="J35" s="15">
        <v>3</v>
      </c>
      <c r="K35" s="13">
        <v>22548134.922500003</v>
      </c>
      <c r="L35" s="13">
        <v>2383260.853333334</v>
      </c>
      <c r="M35" s="13" t="s">
        <v>42</v>
      </c>
      <c r="N35" s="179">
        <v>43556</v>
      </c>
      <c r="O35" s="16">
        <v>45748</v>
      </c>
      <c r="P35" s="13">
        <v>268269.61</v>
      </c>
      <c r="Q35" s="222" t="e">
        <v>#VALUE!</v>
      </c>
    </row>
    <row r="36" spans="1:17" x14ac:dyDescent="0.2">
      <c r="A36" s="4" t="s">
        <v>60</v>
      </c>
      <c r="B36" s="13">
        <v>351543186.45999998</v>
      </c>
      <c r="C36" s="13">
        <v>327597223.81</v>
      </c>
      <c r="D36" s="13">
        <v>23945962.649999976</v>
      </c>
      <c r="E36" s="13">
        <v>7695879.7000000002</v>
      </c>
      <c r="F36" s="13">
        <v>8658249</v>
      </c>
      <c r="G36" s="14">
        <v>2.77</v>
      </c>
      <c r="H36" s="14">
        <v>0.89</v>
      </c>
      <c r="I36" s="13">
        <v>641323.30833333335</v>
      </c>
      <c r="J36" s="15">
        <v>3</v>
      </c>
      <c r="K36" s="13">
        <v>22021992.724999975</v>
      </c>
      <c r="L36" s="13">
        <v>2209821.5499999919</v>
      </c>
      <c r="M36" s="13">
        <v>766780.04999999201</v>
      </c>
      <c r="N36" s="179">
        <v>43556</v>
      </c>
      <c r="O36" s="16">
        <v>45748</v>
      </c>
      <c r="P36" s="13">
        <v>1442979.35</v>
      </c>
      <c r="Q36" s="222" t="e">
        <v>#VALUE!</v>
      </c>
    </row>
    <row r="37" spans="1:17" x14ac:dyDescent="0.2">
      <c r="A37" s="4" t="s">
        <v>54</v>
      </c>
      <c r="B37" s="13">
        <v>1428807757.99</v>
      </c>
      <c r="C37" s="13">
        <v>1337331760.26</v>
      </c>
      <c r="D37" s="13">
        <v>91475997.730000019</v>
      </c>
      <c r="E37" s="13">
        <v>45571019.810000002</v>
      </c>
      <c r="F37" s="13">
        <v>34424780</v>
      </c>
      <c r="G37" s="14">
        <v>2.66</v>
      </c>
      <c r="H37" s="14">
        <v>1.32</v>
      </c>
      <c r="I37" s="13">
        <v>3797584.9841666669</v>
      </c>
      <c r="J37" s="15">
        <v>3</v>
      </c>
      <c r="K37" s="13">
        <v>80083242.777500018</v>
      </c>
      <c r="L37" s="13">
        <v>7542145.9100000067</v>
      </c>
      <c r="M37" s="13" t="s">
        <v>42</v>
      </c>
      <c r="N37" s="179">
        <v>43922</v>
      </c>
      <c r="O37" s="16">
        <v>45748</v>
      </c>
      <c r="P37" s="13">
        <v>3124267.1</v>
      </c>
      <c r="Q37" s="222" t="e">
        <v>#VALUE!</v>
      </c>
    </row>
    <row r="38" spans="1:17" x14ac:dyDescent="0.2">
      <c r="A38" s="4" t="s">
        <v>59</v>
      </c>
      <c r="B38" s="13">
        <v>285086766</v>
      </c>
      <c r="C38" s="13">
        <v>265519456</v>
      </c>
      <c r="D38" s="13">
        <v>19567310</v>
      </c>
      <c r="E38" s="13">
        <v>8450243.9100000001</v>
      </c>
      <c r="F38" s="13">
        <v>7485780</v>
      </c>
      <c r="G38" s="14">
        <v>2.61</v>
      </c>
      <c r="H38" s="14">
        <v>1.1299999999999999</v>
      </c>
      <c r="I38" s="13">
        <v>704186.99250000005</v>
      </c>
      <c r="J38" s="15">
        <v>6</v>
      </c>
      <c r="K38" s="13">
        <v>15342188.045</v>
      </c>
      <c r="L38" s="13">
        <v>765958.33333333337</v>
      </c>
      <c r="M38" s="13" t="s">
        <v>42</v>
      </c>
      <c r="N38" s="179">
        <v>43647</v>
      </c>
      <c r="O38" s="16">
        <v>45839</v>
      </c>
      <c r="P38" s="13">
        <v>306413</v>
      </c>
      <c r="Q38" s="222" t="e">
        <v>#VALUE!</v>
      </c>
    </row>
    <row r="39" spans="1:17" x14ac:dyDescent="0.2">
      <c r="A39" s="4" t="s">
        <v>49</v>
      </c>
      <c r="B39" s="13">
        <v>1239388142.8299999</v>
      </c>
      <c r="C39" s="13">
        <v>1179099449.74</v>
      </c>
      <c r="D39" s="13">
        <v>60288693.089999914</v>
      </c>
      <c r="E39" s="13">
        <v>19213539.27</v>
      </c>
      <c r="F39" s="13">
        <v>24088947</v>
      </c>
      <c r="G39" s="14">
        <v>2.5</v>
      </c>
      <c r="H39" s="14">
        <v>0.8</v>
      </c>
      <c r="I39" s="13">
        <v>1601128.2725</v>
      </c>
      <c r="J39" s="15">
        <v>6</v>
      </c>
      <c r="K39" s="13">
        <v>50681923.454999916</v>
      </c>
      <c r="L39" s="13">
        <v>2018466.5149999857</v>
      </c>
      <c r="M39" s="13" t="s">
        <v>42</v>
      </c>
      <c r="N39" s="179">
        <v>43647</v>
      </c>
      <c r="O39" s="16">
        <v>45839</v>
      </c>
      <c r="P39" s="13">
        <v>1924014.17</v>
      </c>
      <c r="Q39" s="222" t="e">
        <v>#VALUE!</v>
      </c>
    </row>
    <row r="40" spans="1:17" x14ac:dyDescent="0.2">
      <c r="A40" s="4" t="s">
        <v>67</v>
      </c>
      <c r="B40" s="13">
        <v>1110426785</v>
      </c>
      <c r="C40" s="13">
        <v>1041803543.27</v>
      </c>
      <c r="D40" s="13">
        <v>68623241.730000019</v>
      </c>
      <c r="E40" s="13">
        <v>21312215.390000001</v>
      </c>
      <c r="F40" s="13">
        <v>27485501</v>
      </c>
      <c r="G40" s="14">
        <v>2.5</v>
      </c>
      <c r="H40" s="14">
        <v>0.78</v>
      </c>
      <c r="I40" s="13">
        <v>1776017.9491666667</v>
      </c>
      <c r="J40" s="15">
        <v>3</v>
      </c>
      <c r="K40" s="13">
        <v>63295187.882500023</v>
      </c>
      <c r="L40" s="13">
        <v>4550746.5766666727</v>
      </c>
      <c r="M40" s="13" t="s">
        <v>42</v>
      </c>
      <c r="N40" s="179">
        <v>43922</v>
      </c>
      <c r="O40" s="16">
        <v>45748</v>
      </c>
      <c r="P40" s="13">
        <v>0</v>
      </c>
      <c r="Q40" s="222" t="e">
        <v>#VALUE!</v>
      </c>
    </row>
    <row r="41" spans="1:17" x14ac:dyDescent="0.2">
      <c r="A41" s="4" t="s">
        <v>62</v>
      </c>
      <c r="B41" s="13">
        <v>699328036.19000006</v>
      </c>
      <c r="C41" s="13">
        <v>664588902.25</v>
      </c>
      <c r="D41" s="13">
        <v>34739133.940000057</v>
      </c>
      <c r="E41" s="13">
        <v>13720646.380000001</v>
      </c>
      <c r="F41" s="13">
        <v>14024709</v>
      </c>
      <c r="G41" s="14">
        <v>2.48</v>
      </c>
      <c r="H41" s="14">
        <v>0.98</v>
      </c>
      <c r="I41" s="13">
        <v>1143387.1983333335</v>
      </c>
      <c r="J41" s="15">
        <v>3</v>
      </c>
      <c r="K41" s="13">
        <v>31308972.345000058</v>
      </c>
      <c r="L41" s="13">
        <v>2229905.3133333526</v>
      </c>
      <c r="M41" s="13" t="s">
        <v>42</v>
      </c>
      <c r="N41" s="179">
        <v>43922</v>
      </c>
      <c r="O41" s="16">
        <v>45748</v>
      </c>
      <c r="P41" s="13">
        <v>989646.44</v>
      </c>
      <c r="Q41" s="222" t="e">
        <v>#VALUE!</v>
      </c>
    </row>
    <row r="42" spans="1:17" x14ac:dyDescent="0.2">
      <c r="A42" s="4" t="s">
        <v>66</v>
      </c>
      <c r="B42" s="13">
        <v>1985336227.8699999</v>
      </c>
      <c r="C42" s="13">
        <v>1874838623.05</v>
      </c>
      <c r="D42" s="13">
        <v>110497604.81999993</v>
      </c>
      <c r="E42" s="13">
        <v>41444505.899999999</v>
      </c>
      <c r="F42" s="13">
        <v>45588088</v>
      </c>
      <c r="G42" s="14">
        <v>2.42</v>
      </c>
      <c r="H42" s="14">
        <v>0.91</v>
      </c>
      <c r="I42" s="13">
        <v>3453708.8249999997</v>
      </c>
      <c r="J42" s="15">
        <v>6</v>
      </c>
      <c r="K42" s="13">
        <v>89775351.86999993</v>
      </c>
      <c r="L42" s="13" t="s">
        <v>42</v>
      </c>
      <c r="M42" s="13" t="s">
        <v>42</v>
      </c>
      <c r="N42" s="179">
        <v>43647</v>
      </c>
      <c r="O42" s="16">
        <v>45839</v>
      </c>
      <c r="P42" s="13">
        <v>4679675.38</v>
      </c>
      <c r="Q42" s="222" t="e">
        <v>#VALUE!</v>
      </c>
    </row>
    <row r="43" spans="1:17" x14ac:dyDescent="0.2">
      <c r="A43" s="4" t="s">
        <v>38</v>
      </c>
      <c r="B43" s="13">
        <v>528328839.02999997</v>
      </c>
      <c r="C43" s="13">
        <v>494821608.66000003</v>
      </c>
      <c r="D43" s="13">
        <v>33507230.369999945</v>
      </c>
      <c r="E43" s="13">
        <v>12678019.23</v>
      </c>
      <c r="F43" s="13">
        <v>13880022</v>
      </c>
      <c r="G43" s="14">
        <v>2.41</v>
      </c>
      <c r="H43" s="14">
        <v>0.91</v>
      </c>
      <c r="I43" s="13">
        <v>1056501.6025</v>
      </c>
      <c r="J43" s="15">
        <v>6</v>
      </c>
      <c r="K43" s="13">
        <v>27168220.754999943</v>
      </c>
      <c r="L43" s="13" t="s">
        <v>42</v>
      </c>
      <c r="M43" s="13" t="s">
        <v>42</v>
      </c>
      <c r="N43" s="179">
        <v>43647</v>
      </c>
      <c r="O43" s="16">
        <v>45839</v>
      </c>
      <c r="P43" s="13">
        <v>1667878.7</v>
      </c>
      <c r="Q43" s="222" t="e">
        <v>#VALUE!</v>
      </c>
    </row>
    <row r="44" spans="1:17" x14ac:dyDescent="0.2">
      <c r="A44" s="4" t="s">
        <v>46</v>
      </c>
      <c r="B44" s="13">
        <v>314446387.48000002</v>
      </c>
      <c r="C44" s="13">
        <v>295128391.16000003</v>
      </c>
      <c r="D44" s="13">
        <v>19317996.319999993</v>
      </c>
      <c r="E44" s="13">
        <v>9890319.3499999996</v>
      </c>
      <c r="F44" s="13">
        <v>8369791</v>
      </c>
      <c r="G44" s="14">
        <v>2.31</v>
      </c>
      <c r="H44" s="14">
        <v>1.18</v>
      </c>
      <c r="I44" s="13">
        <v>824193.27916666667</v>
      </c>
      <c r="J44" s="15">
        <v>6</v>
      </c>
      <c r="K44" s="13">
        <v>14372836.644999992</v>
      </c>
      <c r="L44" s="13" t="s">
        <v>42</v>
      </c>
      <c r="M44" s="13" t="s">
        <v>42</v>
      </c>
      <c r="N44" s="179">
        <v>43647</v>
      </c>
      <c r="O44" s="16">
        <v>45839</v>
      </c>
      <c r="P44" s="13">
        <v>1035494.9</v>
      </c>
      <c r="Q44" s="222" t="e">
        <v>#VALUE!</v>
      </c>
    </row>
    <row r="45" spans="1:17" x14ac:dyDescent="0.2">
      <c r="A45" s="4" t="s">
        <v>65</v>
      </c>
      <c r="B45" s="13">
        <v>398824318</v>
      </c>
      <c r="C45" s="13">
        <v>376874823.58999997</v>
      </c>
      <c r="D45" s="13">
        <v>21949494.410000026</v>
      </c>
      <c r="E45" s="13">
        <v>11464835.939999999</v>
      </c>
      <c r="F45" s="13">
        <v>9664284</v>
      </c>
      <c r="G45" s="14">
        <v>2.27</v>
      </c>
      <c r="H45" s="14">
        <v>1.19</v>
      </c>
      <c r="I45" s="13">
        <v>955402.995</v>
      </c>
      <c r="J45" s="15">
        <v>6</v>
      </c>
      <c r="K45" s="13">
        <v>16217076.440000027</v>
      </c>
      <c r="L45" s="13" t="s">
        <v>42</v>
      </c>
      <c r="M45" s="13" t="s">
        <v>42</v>
      </c>
      <c r="N45" s="179">
        <v>43647</v>
      </c>
      <c r="O45" s="16">
        <v>45839</v>
      </c>
      <c r="P45" s="13">
        <v>709799.36</v>
      </c>
      <c r="Q45" s="222" t="e">
        <v>#VALUE!</v>
      </c>
    </row>
    <row r="46" spans="1:17" x14ac:dyDescent="0.2">
      <c r="A46" s="4" t="s">
        <v>68</v>
      </c>
      <c r="B46" s="13">
        <v>509113932</v>
      </c>
      <c r="C46" s="13">
        <v>482380310.02999997</v>
      </c>
      <c r="D46" s="13">
        <v>26733621.970000029</v>
      </c>
      <c r="E46" s="13">
        <v>12248109.26</v>
      </c>
      <c r="F46" s="13">
        <v>11867952</v>
      </c>
      <c r="G46" s="14">
        <v>2.25</v>
      </c>
      <c r="H46" s="14">
        <v>1.03</v>
      </c>
      <c r="I46" s="13">
        <v>1020675.7716666666</v>
      </c>
      <c r="J46" s="15">
        <v>0</v>
      </c>
      <c r="K46" s="13">
        <v>26733621.970000029</v>
      </c>
      <c r="L46" s="13" t="s">
        <v>20</v>
      </c>
      <c r="M46" s="13" t="s">
        <v>42</v>
      </c>
      <c r="N46" s="179">
        <v>43831</v>
      </c>
      <c r="O46" s="16">
        <v>45658</v>
      </c>
      <c r="P46" s="13">
        <v>699289.44</v>
      </c>
      <c r="Q46" s="222" t="e">
        <v>#VALUE!</v>
      </c>
    </row>
    <row r="47" spans="1:17" x14ac:dyDescent="0.2">
      <c r="A47" s="4" t="s">
        <v>43</v>
      </c>
      <c r="B47" s="13">
        <v>254239457</v>
      </c>
      <c r="C47" s="13">
        <v>241505729.15000001</v>
      </c>
      <c r="D47" s="13">
        <v>12733727.849999994</v>
      </c>
      <c r="E47" s="13">
        <v>9140722.8800000008</v>
      </c>
      <c r="F47" s="13">
        <v>5680880</v>
      </c>
      <c r="G47" s="14">
        <v>2.2400000000000002</v>
      </c>
      <c r="H47" s="14">
        <v>1.61</v>
      </c>
      <c r="I47" s="13">
        <v>761726.90666666673</v>
      </c>
      <c r="J47" s="15">
        <v>0</v>
      </c>
      <c r="K47" s="13">
        <v>12733727.849999994</v>
      </c>
      <c r="L47" s="13" t="s">
        <v>20</v>
      </c>
      <c r="M47" s="13" t="s">
        <v>42</v>
      </c>
      <c r="N47" s="179">
        <v>43831</v>
      </c>
      <c r="O47" s="16">
        <v>45658</v>
      </c>
      <c r="P47" s="13">
        <v>1453479.92</v>
      </c>
      <c r="Q47" s="222" t="e">
        <v>#VALUE!</v>
      </c>
    </row>
    <row r="48" spans="1:17" x14ac:dyDescent="0.2">
      <c r="A48" s="4" t="s">
        <v>61</v>
      </c>
      <c r="B48" s="13">
        <v>1085275104.5</v>
      </c>
      <c r="C48" s="13">
        <v>1041888645.17</v>
      </c>
      <c r="D48" s="13">
        <v>43386459.330000043</v>
      </c>
      <c r="E48" s="13">
        <v>21829764.43</v>
      </c>
      <c r="F48" s="13">
        <v>22858857</v>
      </c>
      <c r="G48" s="14">
        <v>1.9</v>
      </c>
      <c r="H48" s="14">
        <v>0.95</v>
      </c>
      <c r="I48" s="13">
        <v>1819147.0358333334</v>
      </c>
      <c r="J48" s="15">
        <v>3</v>
      </c>
      <c r="K48" s="13">
        <v>37929018.222500041</v>
      </c>
      <c r="L48" s="13" t="s">
        <v>42</v>
      </c>
      <c r="M48" s="13" t="s">
        <v>42</v>
      </c>
      <c r="N48" s="179">
        <v>43556</v>
      </c>
      <c r="O48" s="16">
        <v>45748</v>
      </c>
      <c r="P48" s="13">
        <v>2641071.08</v>
      </c>
      <c r="Q48" s="222" t="e">
        <v>#VALUE!</v>
      </c>
    </row>
    <row r="49" spans="1:17" x14ac:dyDescent="0.2">
      <c r="A49" s="4" t="s">
        <v>58</v>
      </c>
      <c r="B49" s="13">
        <v>1205115490</v>
      </c>
      <c r="C49" s="13">
        <v>1164147039.8900001</v>
      </c>
      <c r="D49" s="13">
        <v>40968450.109999895</v>
      </c>
      <c r="E49" s="13">
        <v>22542857.91</v>
      </c>
      <c r="F49" s="13">
        <v>22499042</v>
      </c>
      <c r="G49" s="14">
        <v>1.82</v>
      </c>
      <c r="H49" s="14">
        <v>1</v>
      </c>
      <c r="I49" s="13">
        <v>1878571.4924999999</v>
      </c>
      <c r="J49" s="15">
        <v>3</v>
      </c>
      <c r="K49" s="13">
        <v>35332735.632499896</v>
      </c>
      <c r="L49" s="13" t="s">
        <v>42</v>
      </c>
      <c r="M49" s="13" t="s">
        <v>42</v>
      </c>
      <c r="N49" s="179">
        <v>43922</v>
      </c>
      <c r="O49" s="16">
        <v>45748</v>
      </c>
      <c r="P49" s="13">
        <v>3284177.16</v>
      </c>
      <c r="Q49" s="222" t="e">
        <v>#VALUE!</v>
      </c>
    </row>
    <row r="50" spans="1:17" x14ac:dyDescent="0.2">
      <c r="A50" s="4" t="s">
        <v>48</v>
      </c>
      <c r="B50" s="13">
        <v>545409679.30999994</v>
      </c>
      <c r="C50" s="13">
        <v>527559611.95999998</v>
      </c>
      <c r="D50" s="13">
        <v>17850067.349999964</v>
      </c>
      <c r="E50" s="13">
        <v>15486387.65</v>
      </c>
      <c r="F50" s="13">
        <v>11656242</v>
      </c>
      <c r="G50" s="14">
        <v>1.53</v>
      </c>
      <c r="H50" s="14">
        <v>1.33</v>
      </c>
      <c r="I50" s="13">
        <v>1290532.3041666667</v>
      </c>
      <c r="J50" s="15">
        <v>0</v>
      </c>
      <c r="K50" s="13">
        <v>17850067.349999964</v>
      </c>
      <c r="L50" s="13" t="s">
        <v>42</v>
      </c>
      <c r="M50" s="13" t="s">
        <v>42</v>
      </c>
      <c r="N50" s="179">
        <v>43831</v>
      </c>
      <c r="O50" s="16">
        <v>45658</v>
      </c>
      <c r="P50" s="13">
        <v>3790532.25</v>
      </c>
      <c r="Q50" s="222" t="e">
        <v>#VALUE!</v>
      </c>
    </row>
    <row r="51" spans="1:17" x14ac:dyDescent="0.2">
      <c r="A51" s="4" t="s">
        <v>69</v>
      </c>
      <c r="B51" s="13">
        <v>238203233</v>
      </c>
      <c r="C51" s="13">
        <v>233443786.21000001</v>
      </c>
      <c r="D51" s="13">
        <v>4759446.7899999917</v>
      </c>
      <c r="E51" s="13">
        <v>6678767.4299999997</v>
      </c>
      <c r="F51" s="13">
        <v>5501208</v>
      </c>
      <c r="G51" s="14">
        <v>0.87</v>
      </c>
      <c r="H51" s="14">
        <v>1.21</v>
      </c>
      <c r="I51" s="13">
        <v>556563.95250000001</v>
      </c>
      <c r="J51" s="15">
        <v>6</v>
      </c>
      <c r="K51" s="13">
        <v>1420063.0749999918</v>
      </c>
      <c r="L51" s="13" t="s">
        <v>42</v>
      </c>
      <c r="M51" s="13" t="s">
        <v>42</v>
      </c>
      <c r="N51" s="179">
        <v>43647</v>
      </c>
      <c r="O51" s="16">
        <v>45839</v>
      </c>
      <c r="P51" s="13">
        <v>0</v>
      </c>
      <c r="Q51" s="222" t="e">
        <v>#VALUE!</v>
      </c>
    </row>
    <row r="52" spans="1:17" x14ac:dyDescent="0.2">
      <c r="A52" s="4" t="s">
        <v>70</v>
      </c>
      <c r="B52" s="13">
        <v>75470621</v>
      </c>
      <c r="C52" s="13">
        <v>73606519.829999998</v>
      </c>
      <c r="D52" s="18">
        <v>1864101.1700000018</v>
      </c>
      <c r="E52" s="13">
        <v>2488748.89</v>
      </c>
      <c r="F52" s="13">
        <v>2752623</v>
      </c>
      <c r="G52" s="14">
        <v>0.68</v>
      </c>
      <c r="H52" s="14">
        <v>0.9</v>
      </c>
      <c r="I52" s="18">
        <v>207395.74083333334</v>
      </c>
      <c r="J52" s="15">
        <v>6</v>
      </c>
      <c r="K52" s="18">
        <v>619726.72500000172</v>
      </c>
      <c r="L52" s="18" t="s">
        <v>42</v>
      </c>
      <c r="M52" s="18" t="s">
        <v>42</v>
      </c>
      <c r="N52" s="180">
        <v>43647</v>
      </c>
      <c r="O52" s="16">
        <v>45839</v>
      </c>
      <c r="P52" s="13">
        <v>1998.21</v>
      </c>
      <c r="Q52" s="222" t="e">
        <v>#VALUE!</v>
      </c>
    </row>
    <row r="53" spans="1:17" x14ac:dyDescent="0.25">
      <c r="A53" s="34" t="s">
        <v>71</v>
      </c>
      <c r="B53" s="31">
        <v>43808641242.440002</v>
      </c>
      <c r="C53" s="13">
        <v>40401598766.43</v>
      </c>
      <c r="D53" s="31">
        <v>3407042476.0100021</v>
      </c>
      <c r="E53" s="13">
        <v>962647843.07000005</v>
      </c>
      <c r="F53" s="13">
        <v>983528971</v>
      </c>
      <c r="G53" s="14">
        <v>3.46</v>
      </c>
      <c r="H53" s="14">
        <v>0.98</v>
      </c>
      <c r="I53" s="31">
        <v>80220653.589166671</v>
      </c>
      <c r="J53" s="32"/>
      <c r="K53" s="33"/>
      <c r="L53" s="33"/>
      <c r="M53" s="33"/>
      <c r="N53" s="33"/>
      <c r="O53" s="33"/>
      <c r="P53" s="31">
        <v>94956290.37000002</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36</v>
      </c>
      <c r="H56" s="25"/>
    </row>
    <row r="57" spans="1:17" ht="27" customHeight="1" thickBot="1" x14ac:dyDescent="0.3">
      <c r="D57" s="228" t="s">
        <v>73</v>
      </c>
      <c r="E57" s="229"/>
      <c r="F57" s="229"/>
      <c r="G57" s="27"/>
      <c r="H57" s="28">
        <v>30</v>
      </c>
    </row>
  </sheetData>
  <mergeCells count="2">
    <mergeCell ref="D56:F56"/>
    <mergeCell ref="D57:F57"/>
  </mergeCells>
  <conditionalFormatting sqref="G54">
    <cfRule type="cellIs" dxfId="167" priority="13" stopIfTrue="1" operator="greaterThan">
      <formula>2.5</formula>
    </cfRule>
    <cfRule type="cellIs" dxfId="166" priority="14" stopIfTrue="1" operator="between">
      <formula>2.01</formula>
      <formula>2.5</formula>
    </cfRule>
  </conditionalFormatting>
  <conditionalFormatting sqref="H3:H53">
    <cfRule type="cellIs" dxfId="165" priority="12" stopIfTrue="1" operator="lessThan">
      <formula>1</formula>
    </cfRule>
  </conditionalFormatting>
  <conditionalFormatting sqref="G3:G53">
    <cfRule type="cellIs" dxfId="164" priority="10" stopIfTrue="1" operator="greaterThan">
      <formula>2.5</formula>
    </cfRule>
    <cfRule type="cellIs" dxfId="163" priority="11" stopIfTrue="1" operator="between">
      <formula>2.01</formula>
      <formula>2.5</formula>
    </cfRule>
  </conditionalFormatting>
  <conditionalFormatting sqref="K3:K52">
    <cfRule type="cellIs" dxfId="162" priority="8" stopIfTrue="1" operator="greaterThan">
      <formula>$F3*2.5</formula>
    </cfRule>
    <cfRule type="cellIs" dxfId="161" priority="9" stopIfTrue="1" operator="between">
      <formula>$F3*2</formula>
      <formula>$F3*2.5</formula>
    </cfRule>
  </conditionalFormatting>
  <conditionalFormatting sqref="G54">
    <cfRule type="cellIs" dxfId="160" priority="6" stopIfTrue="1" operator="greaterThan">
      <formula>2.5</formula>
    </cfRule>
    <cfRule type="cellIs" dxfId="159" priority="7" stopIfTrue="1" operator="between">
      <formula>2.01</formula>
      <formula>2.5</formula>
    </cfRule>
  </conditionalFormatting>
  <conditionalFormatting sqref="H3:H53">
    <cfRule type="cellIs" dxfId="158" priority="5" stopIfTrue="1" operator="lessThan">
      <formula>1</formula>
    </cfRule>
  </conditionalFormatting>
  <conditionalFormatting sqref="G3:G53">
    <cfRule type="cellIs" dxfId="157" priority="3" stopIfTrue="1" operator="greaterThan">
      <formula>2.5</formula>
    </cfRule>
    <cfRule type="cellIs" dxfId="156" priority="4" stopIfTrue="1" operator="between">
      <formula>2.01</formula>
      <formula>2.5</formula>
    </cfRule>
  </conditionalFormatting>
  <conditionalFormatting sqref="K3:K52">
    <cfRule type="cellIs" dxfId="155" priority="1" stopIfTrue="1" operator="greaterThan">
      <formula>$F3*2.5</formula>
    </cfRule>
    <cfRule type="cellIs" dxfId="154"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B57B-0397-4D58-810E-06DA262500D8}">
  <sheetPr>
    <tabColor rgb="FF92D050"/>
    <pageSetUpPr fitToPage="1"/>
  </sheetPr>
  <dimension ref="A1:Q57"/>
  <sheetViews>
    <sheetView workbookViewId="0">
      <pane xSplit="1" ySplit="2" topLeftCell="B9"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453125" style="17" bestFit="1" customWidth="1"/>
    <col min="16" max="16" width="7.7265625" style="23" hidden="1" customWidth="1"/>
    <col min="17" max="17" width="12.81640625" style="17" hidden="1" customWidth="1"/>
    <col min="18" max="16384" width="9.1796875" style="17"/>
  </cols>
  <sheetData>
    <row r="1" spans="1:17" s="8" customFormat="1" ht="18" x14ac:dyDescent="0.25">
      <c r="A1" s="4" t="s">
        <v>74</v>
      </c>
      <c r="B1" s="178" t="s">
        <v>75</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1115197398.45</v>
      </c>
      <c r="C3" s="13">
        <v>974811660.61000001</v>
      </c>
      <c r="D3" s="13">
        <v>140385737.84000003</v>
      </c>
      <c r="E3" s="13">
        <v>7756786.8700000001</v>
      </c>
      <c r="F3" s="13">
        <v>26165562</v>
      </c>
      <c r="G3" s="14">
        <v>5.37</v>
      </c>
      <c r="H3" s="14">
        <v>0.3</v>
      </c>
      <c r="I3" s="13">
        <v>646398.90583333338</v>
      </c>
      <c r="J3" s="15">
        <v>0</v>
      </c>
      <c r="K3" s="13">
        <v>140385737.84000003</v>
      </c>
      <c r="L3" s="13" t="s">
        <v>20</v>
      </c>
      <c r="M3" s="13" t="s">
        <v>20</v>
      </c>
      <c r="N3" s="179">
        <v>43647</v>
      </c>
      <c r="O3" s="16">
        <v>45108</v>
      </c>
      <c r="P3" s="13">
        <v>1747704.63</v>
      </c>
      <c r="Q3" s="223" t="e">
        <v>#VALUE!</v>
      </c>
    </row>
    <row r="4" spans="1:17" x14ac:dyDescent="0.2">
      <c r="A4" s="4" t="s">
        <v>21</v>
      </c>
      <c r="B4" s="13">
        <v>1742322911.3599999</v>
      </c>
      <c r="C4" s="13">
        <v>1507591564.6800001</v>
      </c>
      <c r="D4" s="13">
        <v>234731346.67999983</v>
      </c>
      <c r="E4" s="13">
        <v>28857923.350000001</v>
      </c>
      <c r="F4" s="13">
        <v>46308393</v>
      </c>
      <c r="G4" s="14">
        <v>5.07</v>
      </c>
      <c r="H4" s="14">
        <v>0.62</v>
      </c>
      <c r="I4" s="13">
        <v>2404826.9458333333</v>
      </c>
      <c r="J4" s="15">
        <v>5</v>
      </c>
      <c r="K4" s="13">
        <v>222707211.95083317</v>
      </c>
      <c r="L4" s="13">
        <v>28422912.135999966</v>
      </c>
      <c r="M4" s="13">
        <v>23792072.835999966</v>
      </c>
      <c r="N4" s="179">
        <v>43831</v>
      </c>
      <c r="O4" s="16">
        <v>45292</v>
      </c>
      <c r="P4" s="13">
        <v>1879976.63</v>
      </c>
      <c r="Q4" s="222" t="e">
        <v>#VALUE!</v>
      </c>
    </row>
    <row r="5" spans="1:17" x14ac:dyDescent="0.2">
      <c r="A5" s="4" t="s">
        <v>22</v>
      </c>
      <c r="B5" s="13">
        <v>694863312.32000005</v>
      </c>
      <c r="C5" s="13">
        <v>624061573.47000003</v>
      </c>
      <c r="D5" s="13">
        <v>70801738.850000024</v>
      </c>
      <c r="E5" s="13">
        <v>10535908.6</v>
      </c>
      <c r="F5" s="13">
        <v>14211637</v>
      </c>
      <c r="G5" s="14">
        <v>4.9800000000000004</v>
      </c>
      <c r="H5" s="14">
        <v>0.74</v>
      </c>
      <c r="I5" s="13">
        <v>877992.3833333333</v>
      </c>
      <c r="J5" s="15">
        <v>0</v>
      </c>
      <c r="K5" s="13">
        <v>70801738.850000024</v>
      </c>
      <c r="L5" s="13" t="s">
        <v>20</v>
      </c>
      <c r="M5" s="13" t="s">
        <v>20</v>
      </c>
      <c r="N5" s="179">
        <v>43647</v>
      </c>
      <c r="O5" s="16">
        <v>45108</v>
      </c>
      <c r="P5" s="13">
        <v>668922.43999999994</v>
      </c>
      <c r="Q5" s="222" t="e">
        <v>#VALUE!</v>
      </c>
    </row>
    <row r="6" spans="1:17" x14ac:dyDescent="0.2">
      <c r="A6" s="4" t="s">
        <v>23</v>
      </c>
      <c r="B6" s="13">
        <v>1307199339.74</v>
      </c>
      <c r="C6" s="13">
        <v>1172547138.54</v>
      </c>
      <c r="D6" s="13">
        <v>134652201.20000005</v>
      </c>
      <c r="E6" s="13">
        <v>14079364.4</v>
      </c>
      <c r="F6" s="13">
        <v>29464578</v>
      </c>
      <c r="G6" s="14">
        <v>4.57</v>
      </c>
      <c r="H6" s="14">
        <v>0.48</v>
      </c>
      <c r="I6" s="13">
        <v>1173280.3666666667</v>
      </c>
      <c r="J6" s="15">
        <v>5</v>
      </c>
      <c r="K6" s="13">
        <v>128785799.36666672</v>
      </c>
      <c r="L6" s="13">
        <v>15144609.04000001</v>
      </c>
      <c r="M6" s="13">
        <v>12198151.24000001</v>
      </c>
      <c r="N6" s="179">
        <v>43831</v>
      </c>
      <c r="O6" s="16">
        <v>45292</v>
      </c>
      <c r="P6" s="13">
        <v>938127.14</v>
      </c>
      <c r="Q6" s="222" t="e">
        <v>#VALUE!</v>
      </c>
    </row>
    <row r="7" spans="1:17" x14ac:dyDescent="0.2">
      <c r="A7" s="4" t="s">
        <v>24</v>
      </c>
      <c r="B7" s="13">
        <v>1436169229.97</v>
      </c>
      <c r="C7" s="13">
        <v>1287312479.3599999</v>
      </c>
      <c r="D7" s="13">
        <v>148856750.61000013</v>
      </c>
      <c r="E7" s="13">
        <v>28902779.960000001</v>
      </c>
      <c r="F7" s="13">
        <v>33783046</v>
      </c>
      <c r="G7" s="14">
        <v>4.41</v>
      </c>
      <c r="H7" s="14">
        <v>0.86</v>
      </c>
      <c r="I7" s="13">
        <v>2408564.9966666666</v>
      </c>
      <c r="J7" s="15">
        <v>0</v>
      </c>
      <c r="K7" s="13">
        <v>148856750.61000013</v>
      </c>
      <c r="L7" s="13" t="s">
        <v>20</v>
      </c>
      <c r="M7" s="13" t="s">
        <v>20</v>
      </c>
      <c r="N7" s="179">
        <v>43647</v>
      </c>
      <c r="O7" s="16">
        <v>45108</v>
      </c>
      <c r="P7" s="13">
        <v>2720009.98</v>
      </c>
      <c r="Q7" s="222" t="e">
        <v>#VALUE!</v>
      </c>
    </row>
    <row r="8" spans="1:17" x14ac:dyDescent="0.2">
      <c r="A8" s="4" t="s">
        <v>25</v>
      </c>
      <c r="B8" s="13">
        <v>258947994</v>
      </c>
      <c r="C8" s="13">
        <v>231692555.49000001</v>
      </c>
      <c r="D8" s="13">
        <v>27255438.50999999</v>
      </c>
      <c r="E8" s="13">
        <v>5028434.74</v>
      </c>
      <c r="F8" s="13">
        <v>6541090</v>
      </c>
      <c r="G8" s="14">
        <v>4.17</v>
      </c>
      <c r="H8" s="14">
        <v>0.77</v>
      </c>
      <c r="I8" s="13">
        <v>419036.22833333333</v>
      </c>
      <c r="J8" s="15">
        <v>8</v>
      </c>
      <c r="K8" s="13">
        <v>23903148.683333322</v>
      </c>
      <c r="L8" s="13">
        <v>1771657.3137499988</v>
      </c>
      <c r="M8" s="13">
        <v>1362839.1887499988</v>
      </c>
      <c r="N8" s="179">
        <v>43922</v>
      </c>
      <c r="O8" s="16">
        <v>45383</v>
      </c>
      <c r="P8" s="13">
        <v>204626.91</v>
      </c>
      <c r="Q8" s="222" t="e">
        <v>#VALUE!</v>
      </c>
    </row>
    <row r="9" spans="1:17" x14ac:dyDescent="0.2">
      <c r="A9" s="4" t="s">
        <v>27</v>
      </c>
      <c r="B9" s="13">
        <v>834419812</v>
      </c>
      <c r="C9" s="13">
        <v>759087343.63999999</v>
      </c>
      <c r="D9" s="13">
        <v>75332468.360000014</v>
      </c>
      <c r="E9" s="13">
        <v>12341098.98</v>
      </c>
      <c r="F9" s="13">
        <v>18835586</v>
      </c>
      <c r="G9" s="14">
        <v>4</v>
      </c>
      <c r="H9" s="14">
        <v>0.66</v>
      </c>
      <c r="I9" s="13">
        <v>1028424.915</v>
      </c>
      <c r="J9" s="15">
        <v>2</v>
      </c>
      <c r="K9" s="13">
        <v>73275618.530000016</v>
      </c>
      <c r="L9" s="13">
        <v>18830648.180000007</v>
      </c>
      <c r="M9" s="13">
        <v>14121751.680000007</v>
      </c>
      <c r="N9" s="179">
        <v>43739</v>
      </c>
      <c r="O9" s="16">
        <v>45200</v>
      </c>
      <c r="P9" s="13">
        <v>830479.54</v>
      </c>
      <c r="Q9" s="222" t="e">
        <v>#VALUE!</v>
      </c>
    </row>
    <row r="10" spans="1:17" x14ac:dyDescent="0.2">
      <c r="A10" s="4" t="s">
        <v>26</v>
      </c>
      <c r="B10" s="13">
        <v>117378745.39</v>
      </c>
      <c r="C10" s="13">
        <v>103306372.45999999</v>
      </c>
      <c r="D10" s="13">
        <v>14072372.930000007</v>
      </c>
      <c r="E10" s="13">
        <v>1131514.78</v>
      </c>
      <c r="F10" s="13">
        <v>3536351</v>
      </c>
      <c r="G10" s="14">
        <v>3.98</v>
      </c>
      <c r="H10" s="14">
        <v>0.32</v>
      </c>
      <c r="I10" s="13">
        <v>94292.898333333331</v>
      </c>
      <c r="J10" s="15">
        <v>5</v>
      </c>
      <c r="K10" s="13">
        <v>13600908.43833334</v>
      </c>
      <c r="L10" s="13">
        <v>1399934.1860000014</v>
      </c>
      <c r="M10" s="13">
        <v>1046299.0860000014</v>
      </c>
      <c r="N10" s="179">
        <v>43831</v>
      </c>
      <c r="O10" s="16">
        <v>45292</v>
      </c>
      <c r="P10" s="13">
        <v>449267.47</v>
      </c>
      <c r="Q10" s="222" t="e">
        <v>#VALUE!</v>
      </c>
    </row>
    <row r="11" spans="1:17" x14ac:dyDescent="0.2">
      <c r="A11" s="4" t="s">
        <v>28</v>
      </c>
      <c r="B11" s="13">
        <v>1922975437</v>
      </c>
      <c r="C11" s="13">
        <v>1837629154.8399999</v>
      </c>
      <c r="D11" s="13">
        <v>85346282.160000086</v>
      </c>
      <c r="E11" s="13">
        <v>24849626.370000001</v>
      </c>
      <c r="F11" s="13">
        <v>22385506</v>
      </c>
      <c r="G11" s="14">
        <v>3.81</v>
      </c>
      <c r="H11" s="14">
        <v>1.1100000000000001</v>
      </c>
      <c r="I11" s="13">
        <v>2070802.1975</v>
      </c>
      <c r="J11" s="15">
        <v>0</v>
      </c>
      <c r="K11" s="13">
        <v>85346282.160000086</v>
      </c>
      <c r="L11" s="13" t="s">
        <v>20</v>
      </c>
      <c r="M11" s="13" t="s">
        <v>20</v>
      </c>
      <c r="N11" s="179">
        <v>43647</v>
      </c>
      <c r="O11" s="16">
        <v>45108</v>
      </c>
      <c r="P11" s="13">
        <v>1001120.98</v>
      </c>
      <c r="Q11" s="222" t="e">
        <v>#VALUE!</v>
      </c>
    </row>
    <row r="12" spans="1:17" x14ac:dyDescent="0.2">
      <c r="A12" s="4" t="s">
        <v>29</v>
      </c>
      <c r="B12" s="13">
        <v>782983569.92999995</v>
      </c>
      <c r="C12" s="13">
        <v>715259981.08000004</v>
      </c>
      <c r="D12" s="13">
        <v>67723588.849999905</v>
      </c>
      <c r="E12" s="13">
        <v>14553307.91</v>
      </c>
      <c r="F12" s="13">
        <v>17807834</v>
      </c>
      <c r="G12" s="14">
        <v>3.8</v>
      </c>
      <c r="H12" s="14">
        <v>0.82</v>
      </c>
      <c r="I12" s="13">
        <v>1212775.6591666667</v>
      </c>
      <c r="J12" s="15">
        <v>0</v>
      </c>
      <c r="K12" s="13">
        <v>67723588.849999905</v>
      </c>
      <c r="L12" s="13" t="s">
        <v>20</v>
      </c>
      <c r="M12" s="13" t="s">
        <v>20</v>
      </c>
      <c r="N12" s="179">
        <v>43647</v>
      </c>
      <c r="O12" s="16">
        <v>45108</v>
      </c>
      <c r="P12" s="13">
        <v>881090.5</v>
      </c>
      <c r="Q12" s="222" t="e">
        <v>#VALUE!</v>
      </c>
    </row>
    <row r="13" spans="1:17" x14ac:dyDescent="0.2">
      <c r="A13" s="4" t="s">
        <v>30</v>
      </c>
      <c r="B13" s="13">
        <v>1002620982.45</v>
      </c>
      <c r="C13" s="13">
        <v>927166738.86000001</v>
      </c>
      <c r="D13" s="13">
        <v>75454243.590000033</v>
      </c>
      <c r="E13" s="13">
        <v>24948853.559999999</v>
      </c>
      <c r="F13" s="13">
        <v>19866653</v>
      </c>
      <c r="G13" s="14">
        <v>3.8</v>
      </c>
      <c r="H13" s="14">
        <v>1.26</v>
      </c>
      <c r="I13" s="13">
        <v>2079071.13</v>
      </c>
      <c r="J13" s="15">
        <v>8</v>
      </c>
      <c r="K13" s="13">
        <v>58821674.550000034</v>
      </c>
      <c r="L13" s="13">
        <v>4465117.1987500042</v>
      </c>
      <c r="M13" s="13">
        <v>3223451.3862500042</v>
      </c>
      <c r="N13" s="179">
        <v>43922</v>
      </c>
      <c r="O13" s="16">
        <v>45383</v>
      </c>
      <c r="P13" s="13">
        <v>789420</v>
      </c>
      <c r="Q13" s="222" t="e">
        <v>#VALUE!</v>
      </c>
    </row>
    <row r="14" spans="1:17" x14ac:dyDescent="0.2">
      <c r="A14" s="4" t="s">
        <v>31</v>
      </c>
      <c r="B14" s="13">
        <v>482520235</v>
      </c>
      <c r="C14" s="13">
        <v>440162687.00999999</v>
      </c>
      <c r="D14" s="13">
        <v>42357547.99000001</v>
      </c>
      <c r="E14" s="13">
        <v>8458482.3599999994</v>
      </c>
      <c r="F14" s="13">
        <v>11231021</v>
      </c>
      <c r="G14" s="14">
        <v>3.77</v>
      </c>
      <c r="H14" s="14">
        <v>0.75</v>
      </c>
      <c r="I14" s="13">
        <v>704873.52999999991</v>
      </c>
      <c r="J14" s="15">
        <v>5</v>
      </c>
      <c r="K14" s="13">
        <v>38833180.340000011</v>
      </c>
      <c r="L14" s="13">
        <v>3979101.1980000017</v>
      </c>
      <c r="M14" s="13">
        <v>2855999.0980000021</v>
      </c>
      <c r="N14" s="179">
        <v>43831</v>
      </c>
      <c r="O14" s="16">
        <v>45292</v>
      </c>
      <c r="P14" s="13">
        <v>534826.14</v>
      </c>
      <c r="Q14" s="222" t="e">
        <v>#VALUE!</v>
      </c>
    </row>
    <row r="15" spans="1:17" x14ac:dyDescent="0.2">
      <c r="A15" s="4" t="s">
        <v>35</v>
      </c>
      <c r="B15" s="13">
        <v>775111638</v>
      </c>
      <c r="C15" s="13">
        <v>708929984.04999995</v>
      </c>
      <c r="D15" s="13">
        <v>66181653.950000048</v>
      </c>
      <c r="E15" s="13">
        <v>11828352.33</v>
      </c>
      <c r="F15" s="13">
        <v>18806749</v>
      </c>
      <c r="G15" s="14">
        <v>3.52</v>
      </c>
      <c r="H15" s="14">
        <v>0.63</v>
      </c>
      <c r="I15" s="13">
        <v>985696.02749999997</v>
      </c>
      <c r="J15" s="15">
        <v>0</v>
      </c>
      <c r="K15" s="13">
        <v>66181653.950000048</v>
      </c>
      <c r="L15" s="13" t="s">
        <v>20</v>
      </c>
      <c r="M15" s="13" t="s">
        <v>20</v>
      </c>
      <c r="N15" s="179">
        <v>43647</v>
      </c>
      <c r="O15" s="16">
        <v>45108</v>
      </c>
      <c r="P15" s="13">
        <v>754829.03</v>
      </c>
      <c r="Q15" s="222" t="e">
        <v>#VALUE!</v>
      </c>
    </row>
    <row r="16" spans="1:17" x14ac:dyDescent="0.2">
      <c r="A16" s="4" t="s">
        <v>34</v>
      </c>
      <c r="B16" s="13">
        <v>1408362784.9100001</v>
      </c>
      <c r="C16" s="13">
        <v>1299548092.24</v>
      </c>
      <c r="D16" s="13">
        <v>108814692.67000008</v>
      </c>
      <c r="E16" s="13">
        <v>33054501.969999999</v>
      </c>
      <c r="F16" s="13">
        <v>31050303</v>
      </c>
      <c r="G16" s="14">
        <v>3.5</v>
      </c>
      <c r="H16" s="14">
        <v>1.06</v>
      </c>
      <c r="I16" s="13">
        <v>2754541.8308333331</v>
      </c>
      <c r="J16" s="15">
        <v>0</v>
      </c>
      <c r="K16" s="13">
        <v>108814692.67000008</v>
      </c>
      <c r="L16" s="13" t="s">
        <v>20</v>
      </c>
      <c r="M16" s="13" t="s">
        <v>20</v>
      </c>
      <c r="N16" s="179">
        <v>43647</v>
      </c>
      <c r="O16" s="16">
        <v>45108</v>
      </c>
      <c r="P16" s="13">
        <v>1775031.14</v>
      </c>
      <c r="Q16" s="222" t="e">
        <v>#VALUE!</v>
      </c>
    </row>
    <row r="17" spans="1:17" x14ac:dyDescent="0.2">
      <c r="A17" s="4" t="s">
        <v>32</v>
      </c>
      <c r="B17" s="13">
        <v>1141786689.4400001</v>
      </c>
      <c r="C17" s="13">
        <v>1049151582.42</v>
      </c>
      <c r="D17" s="13">
        <v>92635107.0200001</v>
      </c>
      <c r="E17" s="13">
        <v>20433372.170000002</v>
      </c>
      <c r="F17" s="13">
        <v>26492151</v>
      </c>
      <c r="G17" s="14">
        <v>3.5</v>
      </c>
      <c r="H17" s="14">
        <v>0.77</v>
      </c>
      <c r="I17" s="13">
        <v>1702781.0141666669</v>
      </c>
      <c r="J17" s="15">
        <v>0</v>
      </c>
      <c r="K17" s="13">
        <v>92635107.0200001</v>
      </c>
      <c r="L17" s="13" t="s">
        <v>20</v>
      </c>
      <c r="M17" s="13" t="s">
        <v>20</v>
      </c>
      <c r="N17" s="179">
        <v>43647</v>
      </c>
      <c r="O17" s="16">
        <v>45108</v>
      </c>
      <c r="P17" s="13">
        <v>2919307.84</v>
      </c>
      <c r="Q17" s="222" t="e">
        <v>#VALUE!</v>
      </c>
    </row>
    <row r="18" spans="1:17" x14ac:dyDescent="0.2">
      <c r="A18" s="4" t="s">
        <v>33</v>
      </c>
      <c r="B18" s="13">
        <v>987264872</v>
      </c>
      <c r="C18" s="13">
        <v>906543023.23000002</v>
      </c>
      <c r="D18" s="13">
        <v>80721848.769999981</v>
      </c>
      <c r="E18" s="13">
        <v>29166897.800000001</v>
      </c>
      <c r="F18" s="13">
        <v>23383549</v>
      </c>
      <c r="G18" s="14">
        <v>3.45</v>
      </c>
      <c r="H18" s="14">
        <v>1.25</v>
      </c>
      <c r="I18" s="13">
        <v>2430574.8166666669</v>
      </c>
      <c r="J18" s="15">
        <v>8</v>
      </c>
      <c r="K18" s="13">
        <v>61277250.23666665</v>
      </c>
      <c r="L18" s="13">
        <v>4244343.8462499976</v>
      </c>
      <c r="M18" s="13">
        <v>2782872.0337499976</v>
      </c>
      <c r="N18" s="179">
        <v>43922</v>
      </c>
      <c r="O18" s="16">
        <v>45383</v>
      </c>
      <c r="P18" s="13">
        <v>2681020.84</v>
      </c>
      <c r="Q18" s="222" t="e">
        <v>#VALUE!</v>
      </c>
    </row>
    <row r="19" spans="1:17" x14ac:dyDescent="0.2">
      <c r="A19" s="4" t="s">
        <v>36</v>
      </c>
      <c r="B19" s="13">
        <v>383394888</v>
      </c>
      <c r="C19" s="13">
        <v>351390733.95999998</v>
      </c>
      <c r="D19" s="13">
        <v>32004154.040000021</v>
      </c>
      <c r="E19" s="13">
        <v>6938523.2000000002</v>
      </c>
      <c r="F19" s="13">
        <v>9345978</v>
      </c>
      <c r="G19" s="14">
        <v>3.42</v>
      </c>
      <c r="H19" s="14">
        <v>0.74</v>
      </c>
      <c r="I19" s="13">
        <v>578210.26666666672</v>
      </c>
      <c r="J19" s="15">
        <v>8</v>
      </c>
      <c r="K19" s="13">
        <v>27378471.906666689</v>
      </c>
      <c r="L19" s="13">
        <v>1664024.7550000027</v>
      </c>
      <c r="M19" s="13">
        <v>1079901.1300000027</v>
      </c>
      <c r="N19" s="179">
        <v>43556</v>
      </c>
      <c r="O19" s="16">
        <v>45383</v>
      </c>
      <c r="P19" s="13">
        <v>57907.51</v>
      </c>
      <c r="Q19" s="222" t="e">
        <v>#VALUE!</v>
      </c>
    </row>
    <row r="20" spans="1:17" x14ac:dyDescent="0.2">
      <c r="A20" s="4" t="s">
        <v>37</v>
      </c>
      <c r="B20" s="13">
        <v>183964974</v>
      </c>
      <c r="C20" s="13">
        <v>170980321.78</v>
      </c>
      <c r="D20" s="13">
        <v>12984652.219999999</v>
      </c>
      <c r="E20" s="13">
        <v>2035021.81</v>
      </c>
      <c r="F20" s="13">
        <v>3849554</v>
      </c>
      <c r="G20" s="14">
        <v>3.37</v>
      </c>
      <c r="H20" s="14">
        <v>0.53</v>
      </c>
      <c r="I20" s="13">
        <v>169585.15083333335</v>
      </c>
      <c r="J20" s="15">
        <v>0</v>
      </c>
      <c r="K20" s="13">
        <v>12984652.219999999</v>
      </c>
      <c r="L20" s="13" t="s">
        <v>20</v>
      </c>
      <c r="M20" s="13" t="s">
        <v>20</v>
      </c>
      <c r="N20" s="179">
        <v>43647</v>
      </c>
      <c r="O20" s="16">
        <v>45108</v>
      </c>
      <c r="P20" s="13">
        <v>-3427.71</v>
      </c>
      <c r="Q20" s="222" t="e">
        <v>#VALUE!</v>
      </c>
    </row>
    <row r="21" spans="1:17" x14ac:dyDescent="0.2">
      <c r="A21" s="4" t="s">
        <v>39</v>
      </c>
      <c r="B21" s="13">
        <v>490026128.91000003</v>
      </c>
      <c r="C21" s="13">
        <v>456233045.36000001</v>
      </c>
      <c r="D21" s="13">
        <v>33793083.550000012</v>
      </c>
      <c r="E21" s="13">
        <v>10989150.460000001</v>
      </c>
      <c r="F21" s="13">
        <v>10665728</v>
      </c>
      <c r="G21" s="14">
        <v>3.17</v>
      </c>
      <c r="H21" s="14">
        <v>1.03</v>
      </c>
      <c r="I21" s="13">
        <v>915762.53833333345</v>
      </c>
      <c r="J21" s="15">
        <v>0</v>
      </c>
      <c r="K21" s="13">
        <v>33793083.550000012</v>
      </c>
      <c r="L21" s="13" t="s">
        <v>20</v>
      </c>
      <c r="M21" s="13" t="s">
        <v>20</v>
      </c>
      <c r="N21" s="179">
        <v>43647</v>
      </c>
      <c r="O21" s="16">
        <v>45108</v>
      </c>
      <c r="P21" s="13">
        <v>327623.52</v>
      </c>
      <c r="Q21" s="222" t="e">
        <v>#VALUE!</v>
      </c>
    </row>
    <row r="22" spans="1:17" x14ac:dyDescent="0.2">
      <c r="A22" s="4" t="s">
        <v>40</v>
      </c>
      <c r="B22" s="13">
        <v>192099724.25999999</v>
      </c>
      <c r="C22" s="13">
        <v>175340859.06</v>
      </c>
      <c r="D22" s="13">
        <v>16758865.199999988</v>
      </c>
      <c r="E22" s="13">
        <v>4431784.93</v>
      </c>
      <c r="F22" s="13">
        <v>5427145</v>
      </c>
      <c r="G22" s="14">
        <v>3.09</v>
      </c>
      <c r="H22" s="14">
        <v>0.82</v>
      </c>
      <c r="I22" s="13">
        <v>369315.41083333333</v>
      </c>
      <c r="J22" s="15">
        <v>0</v>
      </c>
      <c r="K22" s="13">
        <v>16758865.199999988</v>
      </c>
      <c r="L22" s="13" t="s">
        <v>20</v>
      </c>
      <c r="M22" s="13" t="s">
        <v>20</v>
      </c>
      <c r="N22" s="179">
        <v>43647</v>
      </c>
      <c r="O22" s="16">
        <v>45108</v>
      </c>
      <c r="P22" s="13">
        <v>472837.77</v>
      </c>
      <c r="Q22" s="222" t="e">
        <v>#VALUE!</v>
      </c>
    </row>
    <row r="23" spans="1:17" x14ac:dyDescent="0.2">
      <c r="A23" s="4" t="s">
        <v>38</v>
      </c>
      <c r="B23" s="13">
        <v>514448817.88</v>
      </c>
      <c r="C23" s="13">
        <v>471614662.24000001</v>
      </c>
      <c r="D23" s="13">
        <v>42834155.639999986</v>
      </c>
      <c r="E23" s="13">
        <v>11982842.48</v>
      </c>
      <c r="F23" s="13">
        <v>13912108</v>
      </c>
      <c r="G23" s="14">
        <v>3.08</v>
      </c>
      <c r="H23" s="14">
        <v>0.86</v>
      </c>
      <c r="I23" s="13">
        <v>998570.20666666667</v>
      </c>
      <c r="J23" s="15">
        <v>0</v>
      </c>
      <c r="K23" s="13">
        <v>42834155.639999986</v>
      </c>
      <c r="L23" s="13" t="s">
        <v>20</v>
      </c>
      <c r="M23" s="13" t="s">
        <v>20</v>
      </c>
      <c r="N23" s="179">
        <v>43647</v>
      </c>
      <c r="O23" s="16">
        <v>45108</v>
      </c>
      <c r="P23" s="13">
        <v>3134064.6400000001</v>
      </c>
      <c r="Q23" s="222" t="e">
        <v>#VALUE!</v>
      </c>
    </row>
    <row r="24" spans="1:17" x14ac:dyDescent="0.2">
      <c r="A24" s="4" t="s">
        <v>43</v>
      </c>
      <c r="B24" s="13">
        <v>248558577</v>
      </c>
      <c r="C24" s="13">
        <v>231252548.31</v>
      </c>
      <c r="D24" s="13">
        <v>17306028.689999998</v>
      </c>
      <c r="E24" s="13">
        <v>7287741.5899999999</v>
      </c>
      <c r="F24" s="13">
        <v>5790145</v>
      </c>
      <c r="G24" s="14">
        <v>2.99</v>
      </c>
      <c r="H24" s="14">
        <v>1.26</v>
      </c>
      <c r="I24" s="13">
        <v>607311.79916666669</v>
      </c>
      <c r="J24" s="15">
        <v>5</v>
      </c>
      <c r="K24" s="13">
        <v>14269469.694166664</v>
      </c>
      <c r="L24" s="13">
        <v>1145147.7379999994</v>
      </c>
      <c r="M24" s="13" t="s">
        <v>42</v>
      </c>
      <c r="N24" s="179">
        <v>43831</v>
      </c>
      <c r="O24" s="16">
        <v>45292</v>
      </c>
      <c r="P24" s="13">
        <v>159164.82999999999</v>
      </c>
      <c r="Q24" s="222" t="e">
        <v>#VALUE!</v>
      </c>
    </row>
    <row r="25" spans="1:17" x14ac:dyDescent="0.2">
      <c r="A25" s="4" t="s">
        <v>41</v>
      </c>
      <c r="B25" s="13">
        <v>1181321553.53</v>
      </c>
      <c r="C25" s="13">
        <v>1039280273.01</v>
      </c>
      <c r="D25" s="13">
        <v>142041280.51999998</v>
      </c>
      <c r="E25" s="13">
        <v>60128326.520000003</v>
      </c>
      <c r="F25" s="13">
        <v>47769843</v>
      </c>
      <c r="G25" s="14">
        <v>2.97</v>
      </c>
      <c r="H25" s="14">
        <v>1.26</v>
      </c>
      <c r="I25" s="13">
        <v>5010693.8766666669</v>
      </c>
      <c r="J25" s="15">
        <v>5</v>
      </c>
      <c r="K25" s="13">
        <v>116987811.13666666</v>
      </c>
      <c r="L25" s="13">
        <v>9300318.9039999954</v>
      </c>
      <c r="M25" s="13" t="s">
        <v>42</v>
      </c>
      <c r="N25" s="179">
        <v>43831</v>
      </c>
      <c r="O25" s="16">
        <v>45292</v>
      </c>
      <c r="P25" s="13">
        <v>4542776.8899999997</v>
      </c>
      <c r="Q25" s="222" t="e">
        <v>#VALUE!</v>
      </c>
    </row>
    <row r="26" spans="1:17" x14ac:dyDescent="0.2">
      <c r="A26" s="4" t="s">
        <v>44</v>
      </c>
      <c r="B26" s="13">
        <v>287073942.33999997</v>
      </c>
      <c r="C26" s="13">
        <v>267318548.5</v>
      </c>
      <c r="D26" s="13">
        <v>19755393.839999974</v>
      </c>
      <c r="E26" s="13">
        <v>5320494.3899999997</v>
      </c>
      <c r="F26" s="13">
        <v>6707393</v>
      </c>
      <c r="G26" s="14">
        <v>2.95</v>
      </c>
      <c r="H26" s="14">
        <v>0.79</v>
      </c>
      <c r="I26" s="13">
        <v>443374.53249999997</v>
      </c>
      <c r="J26" s="15">
        <v>0</v>
      </c>
      <c r="K26" s="13">
        <v>19755393.839999974</v>
      </c>
      <c r="L26" s="13" t="s">
        <v>20</v>
      </c>
      <c r="M26" s="13" t="s">
        <v>20</v>
      </c>
      <c r="N26" s="179">
        <v>43647</v>
      </c>
      <c r="O26" s="16">
        <v>45108</v>
      </c>
      <c r="P26" s="13">
        <v>410556.25</v>
      </c>
      <c r="Q26" s="222" t="e">
        <v>#VALUE!</v>
      </c>
    </row>
    <row r="27" spans="1:17" x14ac:dyDescent="0.2">
      <c r="A27" s="4" t="s">
        <v>46</v>
      </c>
      <c r="B27" s="13">
        <v>306076596.48000002</v>
      </c>
      <c r="C27" s="13">
        <v>282246286.32999998</v>
      </c>
      <c r="D27" s="13">
        <v>23830310.150000036</v>
      </c>
      <c r="E27" s="13">
        <v>7000061.9299999997</v>
      </c>
      <c r="F27" s="13">
        <v>8165077</v>
      </c>
      <c r="G27" s="14">
        <v>2.92</v>
      </c>
      <c r="H27" s="14">
        <v>0.86</v>
      </c>
      <c r="I27" s="13">
        <v>583338.49416666664</v>
      </c>
      <c r="J27" s="15">
        <v>0</v>
      </c>
      <c r="K27" s="13">
        <v>23830310.150000036</v>
      </c>
      <c r="L27" s="13" t="s">
        <v>20</v>
      </c>
      <c r="M27" s="13" t="s">
        <v>20</v>
      </c>
      <c r="N27" s="179">
        <v>43647</v>
      </c>
      <c r="O27" s="16">
        <v>45108</v>
      </c>
      <c r="P27" s="13">
        <v>323465.78000000003</v>
      </c>
      <c r="Q27" s="222" t="e">
        <v>#VALUE!</v>
      </c>
    </row>
    <row r="28" spans="1:17" x14ac:dyDescent="0.2">
      <c r="A28" s="4" t="s">
        <v>45</v>
      </c>
      <c r="B28" s="13">
        <v>1960284894.29</v>
      </c>
      <c r="C28" s="13">
        <v>1840434542.8299999</v>
      </c>
      <c r="D28" s="13">
        <v>119850351.46000004</v>
      </c>
      <c r="E28" s="13">
        <v>40292459.590000004</v>
      </c>
      <c r="F28" s="13">
        <v>41120349</v>
      </c>
      <c r="G28" s="14">
        <v>2.91</v>
      </c>
      <c r="H28" s="14">
        <v>0.98</v>
      </c>
      <c r="I28" s="13">
        <v>3357704.9658333338</v>
      </c>
      <c r="J28" s="15">
        <v>5</v>
      </c>
      <c r="K28" s="13">
        <v>103061826.63083337</v>
      </c>
      <c r="L28" s="13">
        <v>7521930.6920000073</v>
      </c>
      <c r="M28" s="13">
        <v>3409895.7920000078</v>
      </c>
      <c r="N28" s="179">
        <v>43831</v>
      </c>
      <c r="O28" s="16">
        <v>45292</v>
      </c>
      <c r="P28" s="13">
        <v>2555069.7799999998</v>
      </c>
      <c r="Q28" s="222" t="e">
        <v>#VALUE!</v>
      </c>
    </row>
    <row r="29" spans="1:17" x14ac:dyDescent="0.2">
      <c r="A29" s="4" t="s">
        <v>47</v>
      </c>
      <c r="B29" s="13">
        <v>101716763</v>
      </c>
      <c r="C29" s="13">
        <v>93968941.090000004</v>
      </c>
      <c r="D29" s="13">
        <v>7747821.9099999964</v>
      </c>
      <c r="E29" s="13">
        <v>2126155.2799999998</v>
      </c>
      <c r="F29" s="13">
        <v>2699725</v>
      </c>
      <c r="G29" s="14">
        <v>2.87</v>
      </c>
      <c r="H29" s="14">
        <v>0.79</v>
      </c>
      <c r="I29" s="13">
        <v>177179.60666666666</v>
      </c>
      <c r="J29" s="15">
        <v>0</v>
      </c>
      <c r="K29" s="13">
        <v>7747821.9099999964</v>
      </c>
      <c r="L29" s="13" t="s">
        <v>20</v>
      </c>
      <c r="M29" s="13" t="s">
        <v>20</v>
      </c>
      <c r="N29" s="179">
        <v>43647</v>
      </c>
      <c r="O29" s="16">
        <v>45108</v>
      </c>
      <c r="P29" s="13">
        <v>183257.51</v>
      </c>
      <c r="Q29" s="222" t="e">
        <v>#VALUE!</v>
      </c>
    </row>
    <row r="30" spans="1:17" x14ac:dyDescent="0.2">
      <c r="A30" s="4" t="s">
        <v>48</v>
      </c>
      <c r="B30" s="13">
        <v>533753437.31</v>
      </c>
      <c r="C30" s="13">
        <v>502101971.31</v>
      </c>
      <c r="D30" s="13">
        <v>31651466</v>
      </c>
      <c r="E30" s="13">
        <v>16297804</v>
      </c>
      <c r="F30" s="13">
        <v>11499421</v>
      </c>
      <c r="G30" s="14">
        <v>2.75</v>
      </c>
      <c r="H30" s="14">
        <v>1.42</v>
      </c>
      <c r="I30" s="13">
        <v>1358150.3333333333</v>
      </c>
      <c r="J30" s="15">
        <v>5</v>
      </c>
      <c r="K30" s="13">
        <v>24860714.333333336</v>
      </c>
      <c r="L30" s="13">
        <v>1730524.8</v>
      </c>
      <c r="M30" s="13" t="s">
        <v>42</v>
      </c>
      <c r="N30" s="179">
        <v>43831</v>
      </c>
      <c r="O30" s="16">
        <v>45292</v>
      </c>
      <c r="P30" s="13">
        <v>1333061.83</v>
      </c>
      <c r="Q30" s="222" t="e">
        <v>#VALUE!</v>
      </c>
    </row>
    <row r="31" spans="1:17" x14ac:dyDescent="0.2">
      <c r="A31" s="4" t="s">
        <v>49</v>
      </c>
      <c r="B31" s="13">
        <v>1215383392.1700001</v>
      </c>
      <c r="C31" s="13">
        <v>1148876301.51</v>
      </c>
      <c r="D31" s="13">
        <v>66507090.660000086</v>
      </c>
      <c r="E31" s="13">
        <v>15033745.050000001</v>
      </c>
      <c r="F31" s="13">
        <v>24335266</v>
      </c>
      <c r="G31" s="14">
        <v>2.73</v>
      </c>
      <c r="H31" s="14">
        <v>0.62</v>
      </c>
      <c r="I31" s="13">
        <v>1252812.0875000001</v>
      </c>
      <c r="J31" s="15">
        <v>0</v>
      </c>
      <c r="K31" s="13">
        <v>66507090.660000086</v>
      </c>
      <c r="L31" s="13" t="s">
        <v>20</v>
      </c>
      <c r="M31" s="13" t="s">
        <v>20</v>
      </c>
      <c r="N31" s="179">
        <v>43647</v>
      </c>
      <c r="O31" s="16">
        <v>45108</v>
      </c>
      <c r="P31" s="13">
        <v>721694.44</v>
      </c>
      <c r="Q31" s="222" t="e">
        <v>#VALUE!</v>
      </c>
    </row>
    <row r="32" spans="1:17" x14ac:dyDescent="0.2">
      <c r="A32" s="4" t="s">
        <v>51</v>
      </c>
      <c r="B32" s="13">
        <v>1035563531</v>
      </c>
      <c r="C32" s="13">
        <v>969920174.64999998</v>
      </c>
      <c r="D32" s="13">
        <v>65643356.350000024</v>
      </c>
      <c r="E32" s="13">
        <v>20230798.57</v>
      </c>
      <c r="F32" s="13">
        <v>24645105</v>
      </c>
      <c r="G32" s="14">
        <v>2.66</v>
      </c>
      <c r="H32" s="14">
        <v>0.82</v>
      </c>
      <c r="I32" s="13">
        <v>1685899.8808333334</v>
      </c>
      <c r="J32" s="15">
        <v>5</v>
      </c>
      <c r="K32" s="13">
        <v>57213856.945833355</v>
      </c>
      <c r="L32" s="13">
        <v>3270629.2700000047</v>
      </c>
      <c r="M32" s="13" t="s">
        <v>42</v>
      </c>
      <c r="N32" s="179">
        <v>43831</v>
      </c>
      <c r="O32" s="16">
        <v>45292</v>
      </c>
      <c r="P32" s="13">
        <v>368648</v>
      </c>
      <c r="Q32" s="222" t="e">
        <v>#VALUE!</v>
      </c>
    </row>
    <row r="33" spans="1:17" x14ac:dyDescent="0.2">
      <c r="A33" s="4" t="s">
        <v>50</v>
      </c>
      <c r="B33" s="13">
        <v>1601312682.0699999</v>
      </c>
      <c r="C33" s="13">
        <v>1491696948.73</v>
      </c>
      <c r="D33" s="13">
        <v>109615733.33999991</v>
      </c>
      <c r="E33" s="13">
        <v>39337018.140000001</v>
      </c>
      <c r="F33" s="13">
        <v>41389514</v>
      </c>
      <c r="G33" s="14">
        <v>2.65</v>
      </c>
      <c r="H33" s="14">
        <v>0.95</v>
      </c>
      <c r="I33" s="13">
        <v>3278084.8450000002</v>
      </c>
      <c r="J33" s="15">
        <v>0</v>
      </c>
      <c r="K33" s="13">
        <v>109615733.33999991</v>
      </c>
      <c r="L33" s="13" t="s">
        <v>20</v>
      </c>
      <c r="M33" s="13" t="s">
        <v>20</v>
      </c>
      <c r="N33" s="179">
        <v>43647</v>
      </c>
      <c r="O33" s="16">
        <v>45108</v>
      </c>
      <c r="P33" s="13">
        <v>3935725.79</v>
      </c>
      <c r="Q33" s="222" t="e">
        <v>#VALUE!</v>
      </c>
    </row>
    <row r="34" spans="1:17" x14ac:dyDescent="0.2">
      <c r="A34" s="4" t="s">
        <v>52</v>
      </c>
      <c r="B34" s="13">
        <v>508943489</v>
      </c>
      <c r="C34" s="13">
        <v>476511553.19</v>
      </c>
      <c r="D34" s="13">
        <v>32431935.810000002</v>
      </c>
      <c r="E34" s="13">
        <v>11109562.689999999</v>
      </c>
      <c r="F34" s="13">
        <v>12834399</v>
      </c>
      <c r="G34" s="14">
        <v>2.5299999999999998</v>
      </c>
      <c r="H34" s="14">
        <v>0.87</v>
      </c>
      <c r="I34" s="13">
        <v>925796.89083333325</v>
      </c>
      <c r="J34" s="15">
        <v>0</v>
      </c>
      <c r="K34" s="13">
        <v>32431935.810000002</v>
      </c>
      <c r="L34" s="13" t="s">
        <v>20</v>
      </c>
      <c r="M34" s="13" t="s">
        <v>20</v>
      </c>
      <c r="N34" s="179">
        <v>43647</v>
      </c>
      <c r="O34" s="16">
        <v>45108</v>
      </c>
      <c r="P34" s="13">
        <v>1434070.71</v>
      </c>
      <c r="Q34" s="222" t="e">
        <v>#VALUE!</v>
      </c>
    </row>
    <row r="35" spans="1:17" x14ac:dyDescent="0.2">
      <c r="A35" s="4" t="s">
        <v>53</v>
      </c>
      <c r="B35" s="13">
        <v>2808699464.54</v>
      </c>
      <c r="C35" s="13">
        <v>2636399284.2600002</v>
      </c>
      <c r="D35" s="13">
        <v>172300180.27999973</v>
      </c>
      <c r="E35" s="13">
        <v>71298202.140000001</v>
      </c>
      <c r="F35" s="13">
        <v>68807928.950000003</v>
      </c>
      <c r="G35" s="14">
        <v>2.5</v>
      </c>
      <c r="H35" s="14">
        <v>1.04</v>
      </c>
      <c r="I35" s="13">
        <v>5941516.8449999997</v>
      </c>
      <c r="J35" s="15">
        <v>1</v>
      </c>
      <c r="K35" s="13">
        <v>166358663.43499973</v>
      </c>
      <c r="L35" s="13">
        <v>34684322.379999727</v>
      </c>
      <c r="M35" s="13" t="s">
        <v>42</v>
      </c>
      <c r="N35" s="179">
        <v>44075</v>
      </c>
      <c r="O35" s="16">
        <v>45170</v>
      </c>
      <c r="P35" s="13">
        <v>8532481.2100000009</v>
      </c>
      <c r="Q35" s="222" t="e">
        <v>#VALUE!</v>
      </c>
    </row>
    <row r="36" spans="1:17" x14ac:dyDescent="0.2">
      <c r="A36" s="4" t="s">
        <v>54</v>
      </c>
      <c r="B36" s="13">
        <v>1359513127.99</v>
      </c>
      <c r="C36" s="13">
        <v>1275581675.54</v>
      </c>
      <c r="D36" s="13">
        <v>83931452.450000048</v>
      </c>
      <c r="E36" s="13">
        <v>27880699.5</v>
      </c>
      <c r="F36" s="13">
        <v>33898476</v>
      </c>
      <c r="G36" s="14">
        <v>2.48</v>
      </c>
      <c r="H36" s="14">
        <v>0.82</v>
      </c>
      <c r="I36" s="13">
        <v>2323391.625</v>
      </c>
      <c r="J36" s="15">
        <v>8</v>
      </c>
      <c r="K36" s="13">
        <v>65344319.450000048</v>
      </c>
      <c r="L36" s="13" t="s">
        <v>42</v>
      </c>
      <c r="M36" s="13" t="s">
        <v>42</v>
      </c>
      <c r="N36" s="179">
        <v>43922</v>
      </c>
      <c r="O36" s="16">
        <v>45383</v>
      </c>
      <c r="P36" s="13">
        <v>1395793.84</v>
      </c>
      <c r="Q36" s="222" t="e">
        <v>#VALUE!</v>
      </c>
    </row>
    <row r="37" spans="1:17" x14ac:dyDescent="0.2">
      <c r="A37" s="4" t="s">
        <v>55</v>
      </c>
      <c r="B37" s="13">
        <v>660266370</v>
      </c>
      <c r="C37" s="13">
        <v>624504539.63999999</v>
      </c>
      <c r="D37" s="13">
        <v>35761830.360000014</v>
      </c>
      <c r="E37" s="13">
        <v>13348603.15</v>
      </c>
      <c r="F37" s="13">
        <v>14821600</v>
      </c>
      <c r="G37" s="14">
        <v>2.41</v>
      </c>
      <c r="H37" s="14">
        <v>0.9</v>
      </c>
      <c r="I37" s="13">
        <v>1112383.5958333334</v>
      </c>
      <c r="J37" s="15">
        <v>5</v>
      </c>
      <c r="K37" s="13">
        <v>30199912.380833346</v>
      </c>
      <c r="L37" s="13">
        <v>1223726.072000003</v>
      </c>
      <c r="M37" s="13" t="s">
        <v>42</v>
      </c>
      <c r="N37" s="179">
        <v>43466</v>
      </c>
      <c r="O37" s="16">
        <v>45292</v>
      </c>
      <c r="P37" s="13">
        <v>480029.94</v>
      </c>
      <c r="Q37" s="222" t="e">
        <v>#VALUE!</v>
      </c>
    </row>
    <row r="38" spans="1:17" x14ac:dyDescent="0.2">
      <c r="A38" s="4" t="s">
        <v>57</v>
      </c>
      <c r="B38" s="13">
        <v>95802497</v>
      </c>
      <c r="C38" s="13">
        <v>89025940.650000006</v>
      </c>
      <c r="D38" s="13">
        <v>6776556.349999994</v>
      </c>
      <c r="E38" s="13">
        <v>5368069.1399999997</v>
      </c>
      <c r="F38" s="13">
        <v>2895399</v>
      </c>
      <c r="G38" s="14">
        <v>2.34</v>
      </c>
      <c r="H38" s="14">
        <v>1.85</v>
      </c>
      <c r="I38" s="13">
        <v>447339.09499999997</v>
      </c>
      <c r="J38" s="15">
        <v>0</v>
      </c>
      <c r="K38" s="13">
        <v>6776556.349999994</v>
      </c>
      <c r="L38" s="13" t="s">
        <v>20</v>
      </c>
      <c r="M38" s="13" t="s">
        <v>42</v>
      </c>
      <c r="N38" s="179">
        <v>43647</v>
      </c>
      <c r="O38" s="16">
        <v>45108</v>
      </c>
      <c r="P38" s="13">
        <v>94966.54</v>
      </c>
      <c r="Q38" s="222" t="e">
        <v>#VALUE!</v>
      </c>
    </row>
    <row r="39" spans="1:17" x14ac:dyDescent="0.2">
      <c r="A39" s="4" t="s">
        <v>56</v>
      </c>
      <c r="B39" s="13">
        <v>1127333975</v>
      </c>
      <c r="C39" s="13">
        <v>1062216758.72</v>
      </c>
      <c r="D39" s="13">
        <v>65117216.279999971</v>
      </c>
      <c r="E39" s="13">
        <v>29412941.359999999</v>
      </c>
      <c r="F39" s="13">
        <v>28091254</v>
      </c>
      <c r="G39" s="14">
        <v>2.3199999999999998</v>
      </c>
      <c r="H39" s="14">
        <v>1.05</v>
      </c>
      <c r="I39" s="13">
        <v>2451078.4466666668</v>
      </c>
      <c r="J39" s="15">
        <v>0</v>
      </c>
      <c r="K39" s="13">
        <v>65117216.279999971</v>
      </c>
      <c r="L39" s="13" t="s">
        <v>20</v>
      </c>
      <c r="M39" s="13" t="s">
        <v>42</v>
      </c>
      <c r="N39" s="179">
        <v>43647</v>
      </c>
      <c r="O39" s="16">
        <v>45108</v>
      </c>
      <c r="P39" s="13">
        <v>2913947.61</v>
      </c>
      <c r="Q39" s="222" t="e">
        <v>#VALUE!</v>
      </c>
    </row>
    <row r="40" spans="1:17" x14ac:dyDescent="0.2">
      <c r="A40" s="4" t="s">
        <v>60</v>
      </c>
      <c r="B40" s="13">
        <v>334651630.45999998</v>
      </c>
      <c r="C40" s="13">
        <v>316479491.27999997</v>
      </c>
      <c r="D40" s="13">
        <v>18172139.180000007</v>
      </c>
      <c r="E40" s="13">
        <v>6843860.9299999997</v>
      </c>
      <c r="F40" s="13">
        <v>7944686</v>
      </c>
      <c r="G40" s="14">
        <v>2.29</v>
      </c>
      <c r="H40" s="14">
        <v>0.86</v>
      </c>
      <c r="I40" s="13">
        <v>570321.74416666664</v>
      </c>
      <c r="J40" s="15">
        <v>8</v>
      </c>
      <c r="K40" s="13">
        <v>13609565.226666674</v>
      </c>
      <c r="L40" s="13" t="s">
        <v>42</v>
      </c>
      <c r="M40" s="13" t="s">
        <v>42</v>
      </c>
      <c r="N40" s="179">
        <v>43556</v>
      </c>
      <c r="O40" s="16">
        <v>45383</v>
      </c>
      <c r="P40" s="13">
        <v>92345.9</v>
      </c>
      <c r="Q40" s="222" t="e">
        <v>#VALUE!</v>
      </c>
    </row>
    <row r="41" spans="1:17" x14ac:dyDescent="0.2">
      <c r="A41" s="4" t="s">
        <v>58</v>
      </c>
      <c r="B41" s="13">
        <v>1182616448</v>
      </c>
      <c r="C41" s="13">
        <v>1130985418.03</v>
      </c>
      <c r="D41" s="13">
        <v>51631029.970000029</v>
      </c>
      <c r="E41" s="13">
        <v>21854792.010000002</v>
      </c>
      <c r="F41" s="13">
        <v>22759065</v>
      </c>
      <c r="G41" s="14">
        <v>2.27</v>
      </c>
      <c r="H41" s="14">
        <v>0.96</v>
      </c>
      <c r="I41" s="13">
        <v>1821232.6675000002</v>
      </c>
      <c r="J41" s="15">
        <v>8</v>
      </c>
      <c r="K41" s="13">
        <v>37061168.630000025</v>
      </c>
      <c r="L41" s="13" t="s">
        <v>42</v>
      </c>
      <c r="M41" s="13" t="s">
        <v>42</v>
      </c>
      <c r="N41" s="179">
        <v>43922</v>
      </c>
      <c r="O41" s="16">
        <v>45383</v>
      </c>
      <c r="P41" s="13">
        <v>1963101.65</v>
      </c>
      <c r="Q41" s="222" t="e">
        <v>#VALUE!</v>
      </c>
    </row>
    <row r="42" spans="1:17" x14ac:dyDescent="0.2">
      <c r="A42" s="4" t="s">
        <v>59</v>
      </c>
      <c r="B42" s="13">
        <v>270139589</v>
      </c>
      <c r="C42" s="13">
        <v>253488562.47999999</v>
      </c>
      <c r="D42" s="13">
        <v>16651026.520000011</v>
      </c>
      <c r="E42" s="13">
        <v>6822992.7999999998</v>
      </c>
      <c r="F42" s="13">
        <v>7334647</v>
      </c>
      <c r="G42" s="14">
        <v>2.27</v>
      </c>
      <c r="H42" s="14">
        <v>0.93</v>
      </c>
      <c r="I42" s="13">
        <v>568582.73333333328</v>
      </c>
      <c r="J42" s="15">
        <v>0</v>
      </c>
      <c r="K42" s="13">
        <v>16651026.520000011</v>
      </c>
      <c r="L42" s="13" t="s">
        <v>20</v>
      </c>
      <c r="M42" s="13" t="s">
        <v>42</v>
      </c>
      <c r="N42" s="179">
        <v>43647</v>
      </c>
      <c r="O42" s="16">
        <v>45108</v>
      </c>
      <c r="P42" s="13">
        <v>515194</v>
      </c>
      <c r="Q42" s="222" t="e">
        <v>#VALUE!</v>
      </c>
    </row>
    <row r="43" spans="1:17" x14ac:dyDescent="0.2">
      <c r="A43" s="4" t="s">
        <v>61</v>
      </c>
      <c r="B43" s="13">
        <v>1062416247.5</v>
      </c>
      <c r="C43" s="13">
        <v>1011049786.6900001</v>
      </c>
      <c r="D43" s="13">
        <v>51366460.809999943</v>
      </c>
      <c r="E43" s="13">
        <v>25922191.34</v>
      </c>
      <c r="F43" s="13">
        <v>23271036</v>
      </c>
      <c r="G43" s="14">
        <v>2.21</v>
      </c>
      <c r="H43" s="14">
        <v>1.1100000000000001</v>
      </c>
      <c r="I43" s="13">
        <v>2160182.6116666668</v>
      </c>
      <c r="J43" s="15">
        <v>8</v>
      </c>
      <c r="K43" s="13">
        <v>34084999.916666612</v>
      </c>
      <c r="L43" s="13" t="s">
        <v>42</v>
      </c>
      <c r="M43" s="13" t="s">
        <v>42</v>
      </c>
      <c r="N43" s="179">
        <v>43556</v>
      </c>
      <c r="O43" s="16">
        <v>45383</v>
      </c>
      <c r="P43" s="13">
        <v>670529.57999999996</v>
      </c>
      <c r="Q43" s="222" t="e">
        <v>#VALUE!</v>
      </c>
    </row>
    <row r="44" spans="1:17" x14ac:dyDescent="0.2">
      <c r="A44" s="4" t="s">
        <v>62</v>
      </c>
      <c r="B44" s="13">
        <v>671425386.73000002</v>
      </c>
      <c r="C44" s="13">
        <v>641280511.47000003</v>
      </c>
      <c r="D44" s="13">
        <v>30144875.25999999</v>
      </c>
      <c r="E44" s="13">
        <v>13274875.52</v>
      </c>
      <c r="F44" s="13">
        <v>14136687</v>
      </c>
      <c r="G44" s="14">
        <v>2.13</v>
      </c>
      <c r="H44" s="14">
        <v>0.94</v>
      </c>
      <c r="I44" s="13">
        <v>1106239.6266666667</v>
      </c>
      <c r="J44" s="15">
        <v>8</v>
      </c>
      <c r="K44" s="13">
        <v>21294958.246666655</v>
      </c>
      <c r="L44" s="13" t="s">
        <v>42</v>
      </c>
      <c r="M44" s="13" t="s">
        <v>42</v>
      </c>
      <c r="N44" s="179">
        <v>43922</v>
      </c>
      <c r="O44" s="16">
        <v>45383</v>
      </c>
      <c r="P44" s="13">
        <v>703729.91</v>
      </c>
      <c r="Q44" s="222" t="e">
        <v>#VALUE!</v>
      </c>
    </row>
    <row r="45" spans="1:17" x14ac:dyDescent="0.2">
      <c r="A45" s="4" t="s">
        <v>63</v>
      </c>
      <c r="B45" s="13">
        <v>1279000022.5599999</v>
      </c>
      <c r="C45" s="13">
        <v>1215279740.9000001</v>
      </c>
      <c r="D45" s="13">
        <v>63720281.659999847</v>
      </c>
      <c r="E45" s="13">
        <v>26549163.210000001</v>
      </c>
      <c r="F45" s="13">
        <v>30789752</v>
      </c>
      <c r="G45" s="14">
        <v>2.0699999999999998</v>
      </c>
      <c r="H45" s="14">
        <v>0.86</v>
      </c>
      <c r="I45" s="13">
        <v>2212430.2675000001</v>
      </c>
      <c r="J45" s="15">
        <v>0</v>
      </c>
      <c r="K45" s="13">
        <v>63720281.659999847</v>
      </c>
      <c r="L45" s="13" t="s">
        <v>20</v>
      </c>
      <c r="M45" s="13" t="s">
        <v>42</v>
      </c>
      <c r="N45" s="179">
        <v>43647</v>
      </c>
      <c r="O45" s="16">
        <v>45108</v>
      </c>
      <c r="P45" s="13">
        <v>630579.35</v>
      </c>
      <c r="Q45" s="222" t="e">
        <v>#VALUE!</v>
      </c>
    </row>
    <row r="46" spans="1:17" x14ac:dyDescent="0.2">
      <c r="A46" s="4" t="s">
        <v>64</v>
      </c>
      <c r="B46" s="13">
        <v>336705739</v>
      </c>
      <c r="C46" s="13">
        <v>317674095.19</v>
      </c>
      <c r="D46" s="13">
        <v>19031643.810000002</v>
      </c>
      <c r="E46" s="13">
        <v>7681262.5599999996</v>
      </c>
      <c r="F46" s="13">
        <v>9271277</v>
      </c>
      <c r="G46" s="14">
        <v>2.0499999999999998</v>
      </c>
      <c r="H46" s="14">
        <v>0.83</v>
      </c>
      <c r="I46" s="13">
        <v>640105.21333333326</v>
      </c>
      <c r="J46" s="15">
        <v>5</v>
      </c>
      <c r="K46" s="13">
        <v>15831117.743333336</v>
      </c>
      <c r="L46" s="13" t="s">
        <v>42</v>
      </c>
      <c r="M46" s="13" t="s">
        <v>42</v>
      </c>
      <c r="N46" s="179">
        <v>43831</v>
      </c>
      <c r="O46" s="16">
        <v>45292</v>
      </c>
      <c r="P46" s="13">
        <v>215579.8</v>
      </c>
      <c r="Q46" s="222" t="e">
        <v>#VALUE!</v>
      </c>
    </row>
    <row r="47" spans="1:17" x14ac:dyDescent="0.2">
      <c r="A47" s="4" t="s">
        <v>65</v>
      </c>
      <c r="B47" s="13">
        <v>379033306</v>
      </c>
      <c r="C47" s="13">
        <v>360745325.08999997</v>
      </c>
      <c r="D47" s="13">
        <v>18287980.910000026</v>
      </c>
      <c r="E47" s="13">
        <v>8362261.2699999996</v>
      </c>
      <c r="F47" s="13">
        <v>9905563</v>
      </c>
      <c r="G47" s="14">
        <v>1.85</v>
      </c>
      <c r="H47" s="14">
        <v>0.84</v>
      </c>
      <c r="I47" s="13">
        <v>696855.10583333333</v>
      </c>
      <c r="J47" s="15">
        <v>0</v>
      </c>
      <c r="K47" s="13">
        <v>18287980.910000026</v>
      </c>
      <c r="L47" s="13" t="s">
        <v>42</v>
      </c>
      <c r="M47" s="13" t="s">
        <v>42</v>
      </c>
      <c r="N47" s="179">
        <v>43647</v>
      </c>
      <c r="O47" s="16">
        <v>45108</v>
      </c>
      <c r="P47" s="13">
        <v>860672.57</v>
      </c>
      <c r="Q47" s="222" t="e">
        <v>#VALUE!</v>
      </c>
    </row>
    <row r="48" spans="1:17" x14ac:dyDescent="0.2">
      <c r="A48" s="4" t="s">
        <v>66</v>
      </c>
      <c r="B48" s="13">
        <v>1894934846.98</v>
      </c>
      <c r="C48" s="13">
        <v>1812731574.0899999</v>
      </c>
      <c r="D48" s="13">
        <v>82203272.890000105</v>
      </c>
      <c r="E48" s="13">
        <v>45756901.93</v>
      </c>
      <c r="F48" s="13">
        <v>45251402</v>
      </c>
      <c r="G48" s="14">
        <v>1.82</v>
      </c>
      <c r="H48" s="14">
        <v>1.01</v>
      </c>
      <c r="I48" s="13">
        <v>3813075.1608333332</v>
      </c>
      <c r="J48" s="15">
        <v>0</v>
      </c>
      <c r="K48" s="13">
        <v>82203272.890000105</v>
      </c>
      <c r="L48" s="13" t="s">
        <v>42</v>
      </c>
      <c r="M48" s="13" t="s">
        <v>42</v>
      </c>
      <c r="N48" s="179">
        <v>43647</v>
      </c>
      <c r="O48" s="16">
        <v>45108</v>
      </c>
      <c r="P48" s="13">
        <v>2869454.88</v>
      </c>
      <c r="Q48" s="222" t="e">
        <v>#VALUE!</v>
      </c>
    </row>
    <row r="49" spans="1:17" x14ac:dyDescent="0.2">
      <c r="A49" s="4" t="s">
        <v>67</v>
      </c>
      <c r="B49" s="13">
        <v>1055772942</v>
      </c>
      <c r="C49" s="13">
        <v>1006672431.83</v>
      </c>
      <c r="D49" s="13">
        <v>49100510.169999957</v>
      </c>
      <c r="E49" s="13">
        <v>28256082.199999999</v>
      </c>
      <c r="F49" s="13">
        <v>27135328</v>
      </c>
      <c r="G49" s="14">
        <v>1.81</v>
      </c>
      <c r="H49" s="14">
        <v>1.04</v>
      </c>
      <c r="I49" s="13">
        <v>2354673.5166666666</v>
      </c>
      <c r="J49" s="15">
        <v>8</v>
      </c>
      <c r="K49" s="13">
        <v>30263122.036666624</v>
      </c>
      <c r="L49" s="13" t="s">
        <v>42</v>
      </c>
      <c r="M49" s="13" t="s">
        <v>42</v>
      </c>
      <c r="N49" s="179">
        <v>43922</v>
      </c>
      <c r="O49" s="16">
        <v>45383</v>
      </c>
      <c r="P49" s="13">
        <v>664458.44999999995</v>
      </c>
      <c r="Q49" s="222" t="e">
        <v>#VALUE!</v>
      </c>
    </row>
    <row r="50" spans="1:17" x14ac:dyDescent="0.2">
      <c r="A50" s="4" t="s">
        <v>68</v>
      </c>
      <c r="B50" s="13">
        <v>485437344</v>
      </c>
      <c r="C50" s="13">
        <v>466154889.12</v>
      </c>
      <c r="D50" s="13">
        <v>19282454.879999995</v>
      </c>
      <c r="E50" s="13">
        <v>11685747.91</v>
      </c>
      <c r="F50" s="13">
        <v>11760505</v>
      </c>
      <c r="G50" s="14">
        <v>1.64</v>
      </c>
      <c r="H50" s="14">
        <v>0.99</v>
      </c>
      <c r="I50" s="13">
        <v>973812.32583333331</v>
      </c>
      <c r="J50" s="15">
        <v>5</v>
      </c>
      <c r="K50" s="13">
        <v>14413393.250833329</v>
      </c>
      <c r="L50" s="13" t="s">
        <v>42</v>
      </c>
      <c r="M50" s="13" t="s">
        <v>42</v>
      </c>
      <c r="N50" s="179">
        <v>43831</v>
      </c>
      <c r="O50" s="16">
        <v>45292</v>
      </c>
      <c r="P50" s="13">
        <v>1665163.38</v>
      </c>
      <c r="Q50" s="222" t="e">
        <v>#VALUE!</v>
      </c>
    </row>
    <row r="51" spans="1:17" x14ac:dyDescent="0.2">
      <c r="A51" s="4" t="s">
        <v>69</v>
      </c>
      <c r="B51" s="13">
        <v>232702025</v>
      </c>
      <c r="C51" s="13">
        <v>224949682.28</v>
      </c>
      <c r="D51" s="13">
        <v>7752342.7199999988</v>
      </c>
      <c r="E51" s="13">
        <v>5779003.96</v>
      </c>
      <c r="F51" s="13">
        <v>6807147</v>
      </c>
      <c r="G51" s="14">
        <v>1.1399999999999999</v>
      </c>
      <c r="H51" s="14">
        <v>0.85</v>
      </c>
      <c r="I51" s="13">
        <v>481583.66333333333</v>
      </c>
      <c r="J51" s="15">
        <v>0</v>
      </c>
      <c r="K51" s="13">
        <v>7752342.7199999988</v>
      </c>
      <c r="L51" s="13" t="s">
        <v>42</v>
      </c>
      <c r="M51" s="13" t="s">
        <v>42</v>
      </c>
      <c r="N51" s="179">
        <v>43647</v>
      </c>
      <c r="O51" s="16">
        <v>45108</v>
      </c>
      <c r="P51" s="13">
        <v>922100.15</v>
      </c>
      <c r="Q51" s="222" t="e">
        <v>#VALUE!</v>
      </c>
    </row>
    <row r="52" spans="1:17" x14ac:dyDescent="0.2">
      <c r="A52" s="4" t="s">
        <v>70</v>
      </c>
      <c r="B52" s="13">
        <v>72717998</v>
      </c>
      <c r="C52" s="13">
        <v>70452086.450000003</v>
      </c>
      <c r="D52" s="18">
        <v>2265911.549999997</v>
      </c>
      <c r="E52" s="13">
        <v>2330586.16</v>
      </c>
      <c r="F52" s="13">
        <v>2684959</v>
      </c>
      <c r="G52" s="14">
        <v>0.84</v>
      </c>
      <c r="H52" s="14">
        <v>0.87</v>
      </c>
      <c r="I52" s="18">
        <v>194215.51333333334</v>
      </c>
      <c r="J52" s="15">
        <v>0</v>
      </c>
      <c r="K52" s="18">
        <v>2265911.549999997</v>
      </c>
      <c r="L52" s="18" t="s">
        <v>42</v>
      </c>
      <c r="M52" s="18" t="s">
        <v>42</v>
      </c>
      <c r="N52" s="180">
        <v>43647</v>
      </c>
      <c r="O52" s="16">
        <v>45108</v>
      </c>
      <c r="P52" s="13">
        <v>444928.28</v>
      </c>
      <c r="Q52" s="222" t="e">
        <v>#VALUE!</v>
      </c>
    </row>
    <row r="53" spans="1:17" x14ac:dyDescent="0.25">
      <c r="A53" s="34" t="s">
        <v>71</v>
      </c>
      <c r="B53" s="31">
        <v>42063217302.959999</v>
      </c>
      <c r="C53" s="13">
        <v>39029641437.550003</v>
      </c>
      <c r="D53" s="31">
        <v>3033575865.409996</v>
      </c>
      <c r="E53" s="13">
        <v>894896933.87</v>
      </c>
      <c r="F53" s="13">
        <v>987593470.95000005</v>
      </c>
      <c r="G53" s="14">
        <v>3.07</v>
      </c>
      <c r="H53" s="14">
        <v>0.91</v>
      </c>
      <c r="I53" s="31">
        <v>74574744.489166662</v>
      </c>
      <c r="J53" s="32"/>
      <c r="K53" s="33"/>
      <c r="L53" s="33"/>
      <c r="M53" s="33"/>
      <c r="N53" s="33"/>
      <c r="O53" s="33"/>
      <c r="P53" s="31">
        <v>66367315.789999999</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32</v>
      </c>
      <c r="H56" s="25"/>
    </row>
    <row r="57" spans="1:17" ht="27" customHeight="1" thickBot="1" x14ac:dyDescent="0.3">
      <c r="D57" s="228" t="s">
        <v>73</v>
      </c>
      <c r="E57" s="229"/>
      <c r="F57" s="229"/>
      <c r="G57" s="27"/>
      <c r="H57" s="28">
        <v>36</v>
      </c>
    </row>
  </sheetData>
  <mergeCells count="2">
    <mergeCell ref="D56:F56"/>
    <mergeCell ref="D57:F57"/>
  </mergeCells>
  <conditionalFormatting sqref="G54">
    <cfRule type="cellIs" dxfId="405" priority="13" stopIfTrue="1" operator="greaterThan">
      <formula>2.5</formula>
    </cfRule>
    <cfRule type="cellIs" dxfId="404" priority="14" stopIfTrue="1" operator="between">
      <formula>2.01</formula>
      <formula>2.5</formula>
    </cfRule>
  </conditionalFormatting>
  <conditionalFormatting sqref="H3:H53">
    <cfRule type="cellIs" dxfId="403" priority="12" stopIfTrue="1" operator="lessThan">
      <formula>1</formula>
    </cfRule>
  </conditionalFormatting>
  <conditionalFormatting sqref="G3:G53">
    <cfRule type="cellIs" dxfId="402" priority="10" stopIfTrue="1" operator="greaterThan">
      <formula>2.5</formula>
    </cfRule>
    <cfRule type="cellIs" dxfId="401" priority="11" stopIfTrue="1" operator="between">
      <formula>2.01</formula>
      <formula>2.5</formula>
    </cfRule>
  </conditionalFormatting>
  <conditionalFormatting sqref="K3:K52">
    <cfRule type="cellIs" dxfId="400" priority="8" stopIfTrue="1" operator="greaterThan">
      <formula>$F3*2.5</formula>
    </cfRule>
    <cfRule type="cellIs" dxfId="399" priority="9" stopIfTrue="1" operator="between">
      <formula>$F3*2</formula>
      <formula>$F3*2.5</formula>
    </cfRule>
  </conditionalFormatting>
  <conditionalFormatting sqref="G54">
    <cfRule type="cellIs" dxfId="398" priority="6" stopIfTrue="1" operator="greaterThan">
      <formula>2.5</formula>
    </cfRule>
    <cfRule type="cellIs" dxfId="397" priority="7" stopIfTrue="1" operator="between">
      <formula>2.01</formula>
      <formula>2.5</formula>
    </cfRule>
  </conditionalFormatting>
  <conditionalFormatting sqref="H3:H53">
    <cfRule type="cellIs" dxfId="396" priority="5" stopIfTrue="1" operator="lessThan">
      <formula>1</formula>
    </cfRule>
  </conditionalFormatting>
  <conditionalFormatting sqref="G3:G53">
    <cfRule type="cellIs" dxfId="395" priority="3" stopIfTrue="1" operator="greaterThan">
      <formula>2.5</formula>
    </cfRule>
    <cfRule type="cellIs" dxfId="394" priority="4" stopIfTrue="1" operator="between">
      <formula>2.01</formula>
      <formula>2.5</formula>
    </cfRule>
  </conditionalFormatting>
  <conditionalFormatting sqref="K3:K52">
    <cfRule type="cellIs" dxfId="393" priority="1" stopIfTrue="1" operator="greaterThan">
      <formula>$F3*2.5</formula>
    </cfRule>
    <cfRule type="cellIs" dxfId="392"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1BE02-C377-43B2-B8CF-40D7272CA95D}">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108</v>
      </c>
      <c r="B1" s="178" t="s">
        <v>109</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22</v>
      </c>
      <c r="B3" s="13">
        <v>722479384.32000005</v>
      </c>
      <c r="C3" s="13">
        <v>643463157.85000002</v>
      </c>
      <c r="D3" s="13">
        <v>79016226.470000029</v>
      </c>
      <c r="E3" s="13">
        <v>12711212.91</v>
      </c>
      <c r="F3" s="13">
        <v>13783001</v>
      </c>
      <c r="G3" s="14">
        <v>5.73</v>
      </c>
      <c r="H3" s="14">
        <v>0.92</v>
      </c>
      <c r="I3" s="13">
        <v>1059267.7424999999</v>
      </c>
      <c r="J3" s="15">
        <v>5</v>
      </c>
      <c r="K3" s="13">
        <v>73719887.757500023</v>
      </c>
      <c r="L3" s="13">
        <v>10290044.894000005</v>
      </c>
      <c r="M3" s="13">
        <v>8911744.7940000053</v>
      </c>
      <c r="N3" s="179">
        <v>43647</v>
      </c>
      <c r="O3" s="16">
        <v>45839</v>
      </c>
      <c r="P3" s="13">
        <v>601731.28</v>
      </c>
      <c r="Q3" s="223" t="e">
        <v>#VALUE!</v>
      </c>
    </row>
    <row r="4" spans="1:17" x14ac:dyDescent="0.2">
      <c r="A4" s="4" t="s">
        <v>21</v>
      </c>
      <c r="B4" s="13">
        <v>1834758280.3599999</v>
      </c>
      <c r="C4" s="13">
        <v>1572285906.76</v>
      </c>
      <c r="D4" s="13">
        <v>262472373.5999999</v>
      </c>
      <c r="E4" s="13">
        <v>45287669.140000001</v>
      </c>
      <c r="F4" s="13">
        <v>46162390</v>
      </c>
      <c r="G4" s="14">
        <v>5.69</v>
      </c>
      <c r="H4" s="14">
        <v>0.98</v>
      </c>
      <c r="I4" s="13">
        <v>3773972.4283333332</v>
      </c>
      <c r="J4" s="15">
        <v>-1</v>
      </c>
      <c r="K4" s="13" t="s">
        <v>20</v>
      </c>
      <c r="L4" s="13" t="s">
        <v>20</v>
      </c>
      <c r="M4" s="13" t="s">
        <v>20</v>
      </c>
      <c r="N4" s="179">
        <v>43831</v>
      </c>
      <c r="O4" s="16">
        <v>45658</v>
      </c>
      <c r="P4" s="13">
        <v>2686741.81</v>
      </c>
      <c r="Q4" s="222" t="e">
        <v>#VALUE!</v>
      </c>
    </row>
    <row r="5" spans="1:17" x14ac:dyDescent="0.2">
      <c r="A5" s="4" t="s">
        <v>24</v>
      </c>
      <c r="B5" s="13">
        <v>1503333344.97</v>
      </c>
      <c r="C5" s="13">
        <v>1312666551.1199999</v>
      </c>
      <c r="D5" s="13">
        <v>190666793.85000014</v>
      </c>
      <c r="E5" s="13">
        <v>19852282.739999998</v>
      </c>
      <c r="F5" s="13">
        <v>34090474</v>
      </c>
      <c r="G5" s="14">
        <v>5.59</v>
      </c>
      <c r="H5" s="14">
        <v>0.57999999999999996</v>
      </c>
      <c r="I5" s="13">
        <v>1654356.8949999998</v>
      </c>
      <c r="J5" s="15">
        <v>5</v>
      </c>
      <c r="K5" s="13">
        <v>182395009.37500015</v>
      </c>
      <c r="L5" s="13">
        <v>24497169.170000028</v>
      </c>
      <c r="M5" s="13">
        <v>21088121.770000029</v>
      </c>
      <c r="N5" s="179">
        <v>43647</v>
      </c>
      <c r="O5" s="16">
        <v>45839</v>
      </c>
      <c r="P5" s="13">
        <v>25991.71</v>
      </c>
      <c r="Q5" s="222" t="e">
        <v>#VALUE!</v>
      </c>
    </row>
    <row r="6" spans="1:17" x14ac:dyDescent="0.2">
      <c r="A6" s="4" t="s">
        <v>19</v>
      </c>
      <c r="B6" s="13">
        <v>1137390436.8499999</v>
      </c>
      <c r="C6" s="13">
        <v>1007312051.98</v>
      </c>
      <c r="D6" s="13">
        <v>130078384.86999989</v>
      </c>
      <c r="E6" s="13">
        <v>25355082.030000001</v>
      </c>
      <c r="F6" s="13">
        <v>24778539</v>
      </c>
      <c r="G6" s="14">
        <v>5.25</v>
      </c>
      <c r="H6" s="14">
        <v>1.02</v>
      </c>
      <c r="I6" s="13">
        <v>2112923.5024999999</v>
      </c>
      <c r="J6" s="15">
        <v>5</v>
      </c>
      <c r="K6" s="13">
        <v>119513767.35749988</v>
      </c>
      <c r="L6" s="13">
        <v>16104261.373999977</v>
      </c>
      <c r="M6" s="13">
        <v>13626407.473999977</v>
      </c>
      <c r="N6" s="179">
        <v>43647</v>
      </c>
      <c r="O6" s="16">
        <v>45839</v>
      </c>
      <c r="P6" s="13">
        <v>1334304.33</v>
      </c>
      <c r="Q6" s="222" t="e">
        <v>#VALUE!</v>
      </c>
    </row>
    <row r="7" spans="1:17" x14ac:dyDescent="0.2">
      <c r="A7" s="4" t="s">
        <v>26</v>
      </c>
      <c r="B7" s="13">
        <v>124445693.39</v>
      </c>
      <c r="C7" s="13">
        <v>107673097.18000001</v>
      </c>
      <c r="D7" s="13">
        <v>16772596.209999993</v>
      </c>
      <c r="E7" s="13">
        <v>3348623.63</v>
      </c>
      <c r="F7" s="13">
        <v>3545933</v>
      </c>
      <c r="G7" s="14">
        <v>4.7300000000000004</v>
      </c>
      <c r="H7" s="14">
        <v>0.94</v>
      </c>
      <c r="I7" s="13">
        <v>279051.96916666668</v>
      </c>
      <c r="J7" s="15">
        <v>-1</v>
      </c>
      <c r="K7" s="13" t="s">
        <v>20</v>
      </c>
      <c r="L7" s="13" t="s">
        <v>20</v>
      </c>
      <c r="M7" s="13" t="s">
        <v>20</v>
      </c>
      <c r="N7" s="179">
        <v>43831</v>
      </c>
      <c r="O7" s="16">
        <v>45658</v>
      </c>
      <c r="P7" s="13">
        <v>1065592.3400000001</v>
      </c>
      <c r="Q7" s="222" t="e">
        <v>#VALUE!</v>
      </c>
    </row>
    <row r="8" spans="1:17" x14ac:dyDescent="0.2">
      <c r="A8" s="4" t="s">
        <v>32</v>
      </c>
      <c r="B8" s="13">
        <v>1194130799.73</v>
      </c>
      <c r="C8" s="13">
        <v>1078285458.51</v>
      </c>
      <c r="D8" s="13">
        <v>115845341.22000003</v>
      </c>
      <c r="E8" s="13">
        <v>21237884.620000001</v>
      </c>
      <c r="F8" s="13">
        <v>25988523</v>
      </c>
      <c r="G8" s="14">
        <v>4.46</v>
      </c>
      <c r="H8" s="14">
        <v>0.82</v>
      </c>
      <c r="I8" s="13">
        <v>1769823.7183333335</v>
      </c>
      <c r="J8" s="15">
        <v>5</v>
      </c>
      <c r="K8" s="13">
        <v>106996222.62833336</v>
      </c>
      <c r="L8" s="13">
        <v>12773659.044000005</v>
      </c>
      <c r="M8" s="13">
        <v>10174806.744000006</v>
      </c>
      <c r="N8" s="179">
        <v>43647</v>
      </c>
      <c r="O8" s="16">
        <v>45839</v>
      </c>
      <c r="P8" s="13">
        <v>2621259</v>
      </c>
      <c r="Q8" s="222" t="e">
        <v>#VALUE!</v>
      </c>
    </row>
    <row r="9" spans="1:17" x14ac:dyDescent="0.2">
      <c r="A9" s="4" t="s">
        <v>37</v>
      </c>
      <c r="B9" s="13">
        <v>190999038.36000001</v>
      </c>
      <c r="C9" s="13">
        <v>175212672.81999999</v>
      </c>
      <c r="D9" s="13">
        <v>15786365.540000021</v>
      </c>
      <c r="E9" s="13">
        <v>3459160.48</v>
      </c>
      <c r="F9" s="13">
        <v>3551615</v>
      </c>
      <c r="G9" s="14">
        <v>4.4400000000000004</v>
      </c>
      <c r="H9" s="14">
        <v>0.97</v>
      </c>
      <c r="I9" s="13">
        <v>288263.37333333335</v>
      </c>
      <c r="J9" s="15">
        <v>5</v>
      </c>
      <c r="K9" s="13">
        <v>14345048.673333354</v>
      </c>
      <c r="L9" s="13">
        <v>1736627.1080000042</v>
      </c>
      <c r="M9" s="13">
        <v>1381465.6080000042</v>
      </c>
      <c r="N9" s="179">
        <v>43647</v>
      </c>
      <c r="O9" s="16">
        <v>45839</v>
      </c>
      <c r="P9" s="13">
        <v>0</v>
      </c>
      <c r="Q9" s="222" t="e">
        <v>#VALUE!</v>
      </c>
    </row>
    <row r="10" spans="1:17" x14ac:dyDescent="0.2">
      <c r="A10" s="4" t="s">
        <v>27</v>
      </c>
      <c r="B10" s="13">
        <v>872347192</v>
      </c>
      <c r="C10" s="13">
        <v>788158717.65999997</v>
      </c>
      <c r="D10" s="13">
        <v>84188474.340000033</v>
      </c>
      <c r="E10" s="13">
        <v>16072389.33</v>
      </c>
      <c r="F10" s="13">
        <v>19090913</v>
      </c>
      <c r="G10" s="14">
        <v>4.41</v>
      </c>
      <c r="H10" s="14">
        <v>0.84</v>
      </c>
      <c r="I10" s="13">
        <v>1339365.7775000001</v>
      </c>
      <c r="J10" s="15">
        <v>8</v>
      </c>
      <c r="K10" s="13">
        <v>73473548.120000035</v>
      </c>
      <c r="L10" s="13">
        <v>5750831.0425000042</v>
      </c>
      <c r="M10" s="13">
        <v>4557648.9800000042</v>
      </c>
      <c r="N10" s="179">
        <v>43739</v>
      </c>
      <c r="O10" s="16">
        <v>45931</v>
      </c>
      <c r="P10" s="13">
        <v>2340844.39</v>
      </c>
      <c r="Q10" s="222" t="e">
        <v>#VALUE!</v>
      </c>
    </row>
    <row r="11" spans="1:17" x14ac:dyDescent="0.2">
      <c r="A11" s="4" t="s">
        <v>28</v>
      </c>
      <c r="B11" s="13">
        <v>1966895481</v>
      </c>
      <c r="C11" s="13">
        <v>1871141094.9000001</v>
      </c>
      <c r="D11" s="13">
        <v>95754386.099999905</v>
      </c>
      <c r="E11" s="13">
        <v>21910996.899999999</v>
      </c>
      <c r="F11" s="13">
        <v>21788490</v>
      </c>
      <c r="G11" s="14">
        <v>4.3899999999999997</v>
      </c>
      <c r="H11" s="14">
        <v>1.01</v>
      </c>
      <c r="I11" s="13">
        <v>1825916.4083333332</v>
      </c>
      <c r="J11" s="15">
        <v>5</v>
      </c>
      <c r="K11" s="13">
        <v>86624804.058333233</v>
      </c>
      <c r="L11" s="13">
        <v>10435481.21999998</v>
      </c>
      <c r="M11" s="13">
        <v>8256632.2199999811</v>
      </c>
      <c r="N11" s="179">
        <v>43647</v>
      </c>
      <c r="O11" s="16">
        <v>45839</v>
      </c>
      <c r="P11" s="13">
        <v>1090554.5</v>
      </c>
      <c r="Q11" s="222" t="e">
        <v>#VALUE!</v>
      </c>
    </row>
    <row r="12" spans="1:17" x14ac:dyDescent="0.2">
      <c r="A12" s="4" t="s">
        <v>39</v>
      </c>
      <c r="B12" s="13">
        <v>511163315.91000003</v>
      </c>
      <c r="C12" s="13">
        <v>464796363.10000002</v>
      </c>
      <c r="D12" s="13">
        <v>46366952.810000002</v>
      </c>
      <c r="E12" s="13">
        <v>4795025.41</v>
      </c>
      <c r="F12" s="13">
        <v>10598087</v>
      </c>
      <c r="G12" s="14">
        <v>4.38</v>
      </c>
      <c r="H12" s="14">
        <v>0.45</v>
      </c>
      <c r="I12" s="13">
        <v>399585.45083333337</v>
      </c>
      <c r="J12" s="15">
        <v>5</v>
      </c>
      <c r="K12" s="13">
        <v>44369025.555833332</v>
      </c>
      <c r="L12" s="13">
        <v>5034155.7620000001</v>
      </c>
      <c r="M12" s="13">
        <v>3974347.0620000004</v>
      </c>
      <c r="N12" s="179">
        <v>43647</v>
      </c>
      <c r="O12" s="16">
        <v>45839</v>
      </c>
      <c r="P12" s="13">
        <v>530550.91</v>
      </c>
      <c r="Q12" s="222" t="e">
        <v>#VALUE!</v>
      </c>
    </row>
    <row r="13" spans="1:17" x14ac:dyDescent="0.2">
      <c r="A13" s="4" t="s">
        <v>35</v>
      </c>
      <c r="B13" s="13">
        <v>813673223</v>
      </c>
      <c r="C13" s="13">
        <v>729951412.74000001</v>
      </c>
      <c r="D13" s="13">
        <v>83721810.25999999</v>
      </c>
      <c r="E13" s="13">
        <v>13173011.83</v>
      </c>
      <c r="F13" s="13">
        <v>19453948</v>
      </c>
      <c r="G13" s="14">
        <v>4.3</v>
      </c>
      <c r="H13" s="14">
        <v>0.68</v>
      </c>
      <c r="I13" s="13">
        <v>1097750.9858333333</v>
      </c>
      <c r="J13" s="15">
        <v>5</v>
      </c>
      <c r="K13" s="13">
        <v>78233055.330833316</v>
      </c>
      <c r="L13" s="13">
        <v>8962782.8519999981</v>
      </c>
      <c r="M13" s="13">
        <v>7017388.0519999983</v>
      </c>
      <c r="N13" s="179">
        <v>43647</v>
      </c>
      <c r="O13" s="16">
        <v>45839</v>
      </c>
      <c r="P13" s="13">
        <v>459603.63</v>
      </c>
      <c r="Q13" s="222" t="e">
        <v>#VALUE!</v>
      </c>
    </row>
    <row r="14" spans="1:17" x14ac:dyDescent="0.2">
      <c r="A14" s="4" t="s">
        <v>47</v>
      </c>
      <c r="B14" s="13">
        <v>107063879</v>
      </c>
      <c r="C14" s="13">
        <v>95688010.349999994</v>
      </c>
      <c r="D14" s="13">
        <v>11375868.650000006</v>
      </c>
      <c r="E14" s="13">
        <v>1111309.4099999999</v>
      </c>
      <c r="F14" s="13">
        <v>2669761</v>
      </c>
      <c r="G14" s="14">
        <v>4.26</v>
      </c>
      <c r="H14" s="14">
        <v>0.42</v>
      </c>
      <c r="I14" s="13">
        <v>92609.117499999993</v>
      </c>
      <c r="J14" s="15">
        <v>5</v>
      </c>
      <c r="K14" s="13">
        <v>10912823.062500006</v>
      </c>
      <c r="L14" s="13">
        <v>1207269.3300000012</v>
      </c>
      <c r="M14" s="13">
        <v>940293.23000000115</v>
      </c>
      <c r="N14" s="179">
        <v>43647</v>
      </c>
      <c r="O14" s="16">
        <v>45839</v>
      </c>
      <c r="P14" s="13">
        <v>10567.8</v>
      </c>
      <c r="Q14" s="222" t="e">
        <v>#VALUE!</v>
      </c>
    </row>
    <row r="15" spans="1:17" x14ac:dyDescent="0.2">
      <c r="A15" s="4" t="s">
        <v>34</v>
      </c>
      <c r="B15" s="13">
        <v>1468177330.9100001</v>
      </c>
      <c r="C15" s="13">
        <v>1346049805.8099999</v>
      </c>
      <c r="D15" s="13">
        <v>122127525.10000014</v>
      </c>
      <c r="E15" s="13">
        <v>36031543.520000003</v>
      </c>
      <c r="F15" s="13">
        <v>29748591</v>
      </c>
      <c r="G15" s="14">
        <v>4.1100000000000003</v>
      </c>
      <c r="H15" s="14">
        <v>1.21</v>
      </c>
      <c r="I15" s="13">
        <v>3002628.6266666669</v>
      </c>
      <c r="J15" s="15">
        <v>5</v>
      </c>
      <c r="K15" s="13">
        <v>107114381.9666668</v>
      </c>
      <c r="L15" s="13">
        <v>12526068.620000029</v>
      </c>
      <c r="M15" s="13">
        <v>9551209.5200000294</v>
      </c>
      <c r="N15" s="179">
        <v>43647</v>
      </c>
      <c r="O15" s="16">
        <v>45839</v>
      </c>
      <c r="P15" s="13">
        <v>5477702.2699999996</v>
      </c>
      <c r="Q15" s="222" t="e">
        <v>#VALUE!</v>
      </c>
    </row>
    <row r="16" spans="1:17" x14ac:dyDescent="0.2">
      <c r="A16" s="4" t="s">
        <v>30</v>
      </c>
      <c r="B16" s="13">
        <v>1042589157.45</v>
      </c>
      <c r="C16" s="13">
        <v>964715701.20000005</v>
      </c>
      <c r="D16" s="13">
        <v>77873456.25</v>
      </c>
      <c r="E16" s="13">
        <v>23442037.34</v>
      </c>
      <c r="F16" s="13">
        <v>20158365</v>
      </c>
      <c r="G16" s="14">
        <v>3.86</v>
      </c>
      <c r="H16" s="14">
        <v>1.1599999999999999</v>
      </c>
      <c r="I16" s="13">
        <v>1953503.1116666666</v>
      </c>
      <c r="J16" s="15">
        <v>2</v>
      </c>
      <c r="K16" s="13">
        <v>73966450.026666671</v>
      </c>
      <c r="L16" s="13">
        <v>18778363.125</v>
      </c>
      <c r="M16" s="13">
        <v>13738771.875</v>
      </c>
      <c r="N16" s="179">
        <v>43922</v>
      </c>
      <c r="O16" s="16">
        <v>45748</v>
      </c>
      <c r="P16" s="13">
        <v>1120633</v>
      </c>
      <c r="Q16" s="222" t="e">
        <v>#VALUE!</v>
      </c>
    </row>
    <row r="17" spans="1:17" x14ac:dyDescent="0.2">
      <c r="A17" s="4" t="s">
        <v>33</v>
      </c>
      <c r="B17" s="13">
        <v>1033187132</v>
      </c>
      <c r="C17" s="13">
        <v>948872130.80999994</v>
      </c>
      <c r="D17" s="13">
        <v>84315001.190000057</v>
      </c>
      <c r="E17" s="13">
        <v>24391240.100000001</v>
      </c>
      <c r="F17" s="13">
        <v>22862412</v>
      </c>
      <c r="G17" s="14">
        <v>3.69</v>
      </c>
      <c r="H17" s="14">
        <v>1.07</v>
      </c>
      <c r="I17" s="13">
        <v>2032603.3416666668</v>
      </c>
      <c r="J17" s="15">
        <v>2</v>
      </c>
      <c r="K17" s="13">
        <v>80249794.50666672</v>
      </c>
      <c r="L17" s="13">
        <v>19295088.595000029</v>
      </c>
      <c r="M17" s="13">
        <v>13579485.595000029</v>
      </c>
      <c r="N17" s="179">
        <v>43922</v>
      </c>
      <c r="O17" s="16">
        <v>45748</v>
      </c>
      <c r="P17" s="13">
        <v>2228750.83</v>
      </c>
      <c r="Q17" s="222" t="e">
        <v>#VALUE!</v>
      </c>
    </row>
    <row r="18" spans="1:17" x14ac:dyDescent="0.2">
      <c r="A18" s="4" t="s">
        <v>23</v>
      </c>
      <c r="B18" s="13">
        <v>1336269126.0599999</v>
      </c>
      <c r="C18" s="13">
        <v>1229771657.3299999</v>
      </c>
      <c r="D18" s="13">
        <v>106497468.73000002</v>
      </c>
      <c r="E18" s="13">
        <v>48682921.689999998</v>
      </c>
      <c r="F18" s="13">
        <v>29074134</v>
      </c>
      <c r="G18" s="14">
        <v>3.66</v>
      </c>
      <c r="H18" s="14">
        <v>1.67</v>
      </c>
      <c r="I18" s="13">
        <v>4056910.1408333331</v>
      </c>
      <c r="J18" s="15">
        <v>-1</v>
      </c>
      <c r="K18" s="13" t="s">
        <v>20</v>
      </c>
      <c r="L18" s="13" t="s">
        <v>20</v>
      </c>
      <c r="M18" s="13" t="s">
        <v>20</v>
      </c>
      <c r="N18" s="179">
        <v>43831</v>
      </c>
      <c r="O18" s="16">
        <v>45658</v>
      </c>
      <c r="P18" s="13">
        <v>2090750.25</v>
      </c>
      <c r="Q18" s="222" t="e">
        <v>#VALUE!</v>
      </c>
    </row>
    <row r="19" spans="1:17" x14ac:dyDescent="0.2">
      <c r="A19" s="4" t="s">
        <v>45</v>
      </c>
      <c r="B19" s="13">
        <v>2041893568.29</v>
      </c>
      <c r="C19" s="13">
        <v>1897273091.8699999</v>
      </c>
      <c r="D19" s="13">
        <v>144620476.42000008</v>
      </c>
      <c r="E19" s="13">
        <v>34615860.020000003</v>
      </c>
      <c r="F19" s="13">
        <v>40828727</v>
      </c>
      <c r="G19" s="14">
        <v>3.54</v>
      </c>
      <c r="H19" s="14">
        <v>0.85</v>
      </c>
      <c r="I19" s="13">
        <v>2884655.0016666669</v>
      </c>
      <c r="J19" s="15">
        <v>-1</v>
      </c>
      <c r="K19" s="13" t="s">
        <v>20</v>
      </c>
      <c r="L19" s="13" t="s">
        <v>20</v>
      </c>
      <c r="M19" s="13" t="s">
        <v>20</v>
      </c>
      <c r="N19" s="179">
        <v>43831</v>
      </c>
      <c r="O19" s="16">
        <v>45658</v>
      </c>
      <c r="P19" s="13">
        <v>3295216.39</v>
      </c>
      <c r="Q19" s="222" t="e">
        <v>#VALUE!</v>
      </c>
    </row>
    <row r="20" spans="1:17" x14ac:dyDescent="0.2">
      <c r="A20" s="4" t="s">
        <v>31</v>
      </c>
      <c r="B20" s="13">
        <v>493558716</v>
      </c>
      <c r="C20" s="13">
        <v>454725466.69999999</v>
      </c>
      <c r="D20" s="13">
        <v>38833249.300000012</v>
      </c>
      <c r="E20" s="13">
        <v>10973998.32</v>
      </c>
      <c r="F20" s="13">
        <v>11038481</v>
      </c>
      <c r="G20" s="14">
        <v>3.52</v>
      </c>
      <c r="H20" s="14">
        <v>0.99</v>
      </c>
      <c r="I20" s="13">
        <v>914499.86</v>
      </c>
      <c r="J20" s="15">
        <v>-1</v>
      </c>
      <c r="K20" s="13" t="s">
        <v>20</v>
      </c>
      <c r="L20" s="13" t="s">
        <v>20</v>
      </c>
      <c r="M20" s="13" t="s">
        <v>20</v>
      </c>
      <c r="N20" s="179">
        <v>43831</v>
      </c>
      <c r="O20" s="16">
        <v>45658</v>
      </c>
      <c r="P20" s="13">
        <v>1436965.81</v>
      </c>
      <c r="Q20" s="222" t="e">
        <v>#VALUE!</v>
      </c>
    </row>
    <row r="21" spans="1:17" x14ac:dyDescent="0.2">
      <c r="A21" s="4" t="s">
        <v>41</v>
      </c>
      <c r="B21" s="13">
        <v>1276422533.53</v>
      </c>
      <c r="C21" s="13">
        <v>1111280764.05</v>
      </c>
      <c r="D21" s="13">
        <v>165141769.48000002</v>
      </c>
      <c r="E21" s="13">
        <v>38187517.469999999</v>
      </c>
      <c r="F21" s="13">
        <v>47644860</v>
      </c>
      <c r="G21" s="14">
        <v>3.47</v>
      </c>
      <c r="H21" s="14">
        <v>0.8</v>
      </c>
      <c r="I21" s="13">
        <v>3182293.1225000001</v>
      </c>
      <c r="J21" s="15">
        <v>-1</v>
      </c>
      <c r="K21" s="13" t="s">
        <v>20</v>
      </c>
      <c r="L21" s="13" t="s">
        <v>20</v>
      </c>
      <c r="M21" s="13" t="s">
        <v>20</v>
      </c>
      <c r="N21" s="179">
        <v>43831</v>
      </c>
      <c r="O21" s="16">
        <v>45658</v>
      </c>
      <c r="P21" s="13">
        <v>3873628.89</v>
      </c>
      <c r="Q21" s="222" t="e">
        <v>#VALUE!</v>
      </c>
    </row>
    <row r="22" spans="1:17" x14ac:dyDescent="0.2">
      <c r="A22" s="4" t="s">
        <v>51</v>
      </c>
      <c r="B22" s="13">
        <v>1083940953</v>
      </c>
      <c r="C22" s="13">
        <v>1000423766.39</v>
      </c>
      <c r="D22" s="13">
        <v>83517186.610000014</v>
      </c>
      <c r="E22" s="13">
        <v>21407023.760000002</v>
      </c>
      <c r="F22" s="13">
        <v>24208645</v>
      </c>
      <c r="G22" s="14">
        <v>3.45</v>
      </c>
      <c r="H22" s="14">
        <v>0.88</v>
      </c>
      <c r="I22" s="13">
        <v>1783918.6466666667</v>
      </c>
      <c r="J22" s="15">
        <v>-1</v>
      </c>
      <c r="K22" s="13" t="s">
        <v>20</v>
      </c>
      <c r="L22" s="13" t="s">
        <v>20</v>
      </c>
      <c r="M22" s="13" t="s">
        <v>20</v>
      </c>
      <c r="N22" s="179">
        <v>43831</v>
      </c>
      <c r="O22" s="16">
        <v>45658</v>
      </c>
      <c r="P22" s="13">
        <v>896535.67</v>
      </c>
      <c r="Q22" s="222" t="e">
        <v>#VALUE!</v>
      </c>
    </row>
    <row r="23" spans="1:17" x14ac:dyDescent="0.2">
      <c r="A23" s="4" t="s">
        <v>55</v>
      </c>
      <c r="B23" s="13">
        <v>689945660</v>
      </c>
      <c r="C23" s="13">
        <v>639471221.46000004</v>
      </c>
      <c r="D23" s="13">
        <v>50474438.539999962</v>
      </c>
      <c r="E23" s="13">
        <v>9771457.9000000004</v>
      </c>
      <c r="F23" s="13">
        <v>14901309</v>
      </c>
      <c r="G23" s="14">
        <v>3.39</v>
      </c>
      <c r="H23" s="14">
        <v>0.66</v>
      </c>
      <c r="I23" s="13">
        <v>814288.15833333333</v>
      </c>
      <c r="J23" s="15">
        <v>-1</v>
      </c>
      <c r="K23" s="13" t="s">
        <v>20</v>
      </c>
      <c r="L23" s="13" t="s">
        <v>20</v>
      </c>
      <c r="M23" s="13" t="s">
        <v>20</v>
      </c>
      <c r="N23" s="179">
        <v>43466</v>
      </c>
      <c r="O23" s="16">
        <v>45658</v>
      </c>
      <c r="P23" s="13">
        <v>882408.49</v>
      </c>
      <c r="Q23" s="222" t="e">
        <v>#VALUE!</v>
      </c>
    </row>
    <row r="24" spans="1:17" x14ac:dyDescent="0.2">
      <c r="A24" s="4" t="s">
        <v>25</v>
      </c>
      <c r="B24" s="13">
        <v>265120500</v>
      </c>
      <c r="C24" s="13">
        <v>244705445.47999999</v>
      </c>
      <c r="D24" s="13">
        <v>20415054.520000011</v>
      </c>
      <c r="E24" s="13">
        <v>7900326.75</v>
      </c>
      <c r="F24" s="13">
        <v>6172506</v>
      </c>
      <c r="G24" s="14">
        <v>3.31</v>
      </c>
      <c r="H24" s="14">
        <v>1.28</v>
      </c>
      <c r="I24" s="13">
        <v>658360.5625</v>
      </c>
      <c r="J24" s="15">
        <v>2</v>
      </c>
      <c r="K24" s="13">
        <v>19098333.395000011</v>
      </c>
      <c r="L24" s="13">
        <v>4035021.2600000054</v>
      </c>
      <c r="M24" s="13">
        <v>2491894.7600000054</v>
      </c>
      <c r="N24" s="179">
        <v>43922</v>
      </c>
      <c r="O24" s="16">
        <v>45748</v>
      </c>
      <c r="P24" s="13">
        <v>294890.40999999997</v>
      </c>
      <c r="Q24" s="222" t="e">
        <v>#VALUE!</v>
      </c>
    </row>
    <row r="25" spans="1:17" x14ac:dyDescent="0.2">
      <c r="A25" s="4" t="s">
        <v>50</v>
      </c>
      <c r="B25" s="13">
        <v>1683242657.0699999</v>
      </c>
      <c r="C25" s="13">
        <v>1548579665.26</v>
      </c>
      <c r="D25" s="13">
        <v>134662991.80999994</v>
      </c>
      <c r="E25" s="13">
        <v>39968802.719999999</v>
      </c>
      <c r="F25" s="13">
        <v>40945091</v>
      </c>
      <c r="G25" s="14">
        <v>3.29</v>
      </c>
      <c r="H25" s="14">
        <v>0.98</v>
      </c>
      <c r="I25" s="13">
        <v>3330733.56</v>
      </c>
      <c r="J25" s="15">
        <v>5</v>
      </c>
      <c r="K25" s="13">
        <v>118009324.00999995</v>
      </c>
      <c r="L25" s="13">
        <v>10554561.961999988</v>
      </c>
      <c r="M25" s="13">
        <v>6460052.8619999886</v>
      </c>
      <c r="N25" s="179">
        <v>43647</v>
      </c>
      <c r="O25" s="16">
        <v>45839</v>
      </c>
      <c r="P25" s="13">
        <v>1387426.81</v>
      </c>
      <c r="Q25" s="222" t="e">
        <v>#VALUE!</v>
      </c>
    </row>
    <row r="26" spans="1:17" x14ac:dyDescent="0.2">
      <c r="A26" s="4" t="s">
        <v>56</v>
      </c>
      <c r="B26" s="13">
        <v>1182377479</v>
      </c>
      <c r="C26" s="13">
        <v>1094298864.9200001</v>
      </c>
      <c r="D26" s="13">
        <v>88078614.079999924</v>
      </c>
      <c r="E26" s="13">
        <v>22548781.609999999</v>
      </c>
      <c r="F26" s="13">
        <v>27472066</v>
      </c>
      <c r="G26" s="14">
        <v>3.21</v>
      </c>
      <c r="H26" s="14">
        <v>0.82</v>
      </c>
      <c r="I26" s="13">
        <v>1879065.1341666665</v>
      </c>
      <c r="J26" s="15">
        <v>5</v>
      </c>
      <c r="K26" s="13">
        <v>78683288.409166589</v>
      </c>
      <c r="L26" s="13">
        <v>6626896.4159999844</v>
      </c>
      <c r="M26" s="13">
        <v>3879689.8159999847</v>
      </c>
      <c r="N26" s="179">
        <v>43647</v>
      </c>
      <c r="O26" s="16">
        <v>45839</v>
      </c>
      <c r="P26" s="13">
        <v>1703354.44</v>
      </c>
      <c r="Q26" s="222" t="e">
        <v>#VALUE!</v>
      </c>
    </row>
    <row r="27" spans="1:17" x14ac:dyDescent="0.2">
      <c r="A27" s="4" t="s">
        <v>64</v>
      </c>
      <c r="B27" s="13">
        <v>355494147</v>
      </c>
      <c r="C27" s="13">
        <v>326785705.11000001</v>
      </c>
      <c r="D27" s="13">
        <v>28708441.889999986</v>
      </c>
      <c r="E27" s="13">
        <v>6819597.3399999999</v>
      </c>
      <c r="F27" s="13">
        <v>9435207</v>
      </c>
      <c r="G27" s="14">
        <v>3.04</v>
      </c>
      <c r="H27" s="14">
        <v>0.72</v>
      </c>
      <c r="I27" s="13">
        <v>568299.77833333332</v>
      </c>
      <c r="J27" s="15">
        <v>-1</v>
      </c>
      <c r="K27" s="13" t="s">
        <v>20</v>
      </c>
      <c r="L27" s="13" t="s">
        <v>20</v>
      </c>
      <c r="M27" s="13" t="s">
        <v>20</v>
      </c>
      <c r="N27" s="179">
        <v>43831</v>
      </c>
      <c r="O27" s="16">
        <v>45658</v>
      </c>
      <c r="P27" s="13">
        <v>843433.92</v>
      </c>
      <c r="Q27" s="222" t="e">
        <v>#VALUE!</v>
      </c>
    </row>
    <row r="28" spans="1:17" x14ac:dyDescent="0.2">
      <c r="A28" s="4" t="s">
        <v>44</v>
      </c>
      <c r="B28" s="13">
        <v>300531063.24000001</v>
      </c>
      <c r="C28" s="13">
        <v>280199540.94</v>
      </c>
      <c r="D28" s="13">
        <v>20331522.300000012</v>
      </c>
      <c r="E28" s="13">
        <v>7281673.8200000003</v>
      </c>
      <c r="F28" s="13">
        <v>6730317</v>
      </c>
      <c r="G28" s="14">
        <v>3.02</v>
      </c>
      <c r="H28" s="14">
        <v>1.08</v>
      </c>
      <c r="I28" s="13">
        <v>606806.15166666673</v>
      </c>
      <c r="J28" s="15">
        <v>5</v>
      </c>
      <c r="K28" s="13">
        <v>17297491.541666679</v>
      </c>
      <c r="L28" s="13">
        <v>1374177.6600000025</v>
      </c>
      <c r="M28" s="13">
        <v>701145.96000000241</v>
      </c>
      <c r="N28" s="179">
        <v>43647</v>
      </c>
      <c r="O28" s="16">
        <v>45839</v>
      </c>
      <c r="P28" s="13">
        <v>0</v>
      </c>
      <c r="Q28" s="222" t="e">
        <v>#VALUE!</v>
      </c>
    </row>
    <row r="29" spans="1:17" x14ac:dyDescent="0.2">
      <c r="A29" s="4" t="s">
        <v>52</v>
      </c>
      <c r="B29" s="13">
        <v>535148479</v>
      </c>
      <c r="C29" s="13">
        <v>496483809.94999999</v>
      </c>
      <c r="D29" s="13">
        <v>38664669.050000012</v>
      </c>
      <c r="E29" s="13">
        <v>11323254.34</v>
      </c>
      <c r="F29" s="13">
        <v>13099382</v>
      </c>
      <c r="G29" s="14">
        <v>2.95</v>
      </c>
      <c r="H29" s="14">
        <v>0.86</v>
      </c>
      <c r="I29" s="13">
        <v>943604.52833333332</v>
      </c>
      <c r="J29" s="15">
        <v>5</v>
      </c>
      <c r="K29" s="13">
        <v>33946646.408333346</v>
      </c>
      <c r="L29" s="13">
        <v>2493181.0100000026</v>
      </c>
      <c r="M29" s="13">
        <v>1183242.8100000024</v>
      </c>
      <c r="N29" s="179">
        <v>43647</v>
      </c>
      <c r="O29" s="16">
        <v>45839</v>
      </c>
      <c r="P29" s="13">
        <v>1612634.52</v>
      </c>
      <c r="Q29" s="222" t="e">
        <v>#VALUE!</v>
      </c>
    </row>
    <row r="30" spans="1:17" x14ac:dyDescent="0.2">
      <c r="A30" s="4" t="s">
        <v>40</v>
      </c>
      <c r="B30" s="13">
        <v>203184641.25</v>
      </c>
      <c r="C30" s="13">
        <v>186600750.56</v>
      </c>
      <c r="D30" s="13">
        <v>16583890.689999998</v>
      </c>
      <c r="E30" s="13">
        <v>10770320.84</v>
      </c>
      <c r="F30" s="13">
        <v>5655134</v>
      </c>
      <c r="G30" s="14">
        <v>2.93</v>
      </c>
      <c r="H30" s="14">
        <v>1.9</v>
      </c>
      <c r="I30" s="13">
        <v>897526.73666666669</v>
      </c>
      <c r="J30" s="15">
        <v>5</v>
      </c>
      <c r="K30" s="13">
        <v>12096257.006666664</v>
      </c>
      <c r="L30" s="13">
        <v>1054724.5379999995</v>
      </c>
      <c r="M30" s="13" t="s">
        <v>42</v>
      </c>
      <c r="N30" s="179">
        <v>43647</v>
      </c>
      <c r="O30" s="16">
        <v>45839</v>
      </c>
      <c r="P30" s="13">
        <v>1264747.46</v>
      </c>
      <c r="Q30" s="222" t="e">
        <v>#VALUE!</v>
      </c>
    </row>
    <row r="31" spans="1:17" x14ac:dyDescent="0.2">
      <c r="A31" s="4" t="s">
        <v>63</v>
      </c>
      <c r="B31" s="13">
        <v>1340428223.5599999</v>
      </c>
      <c r="C31" s="13">
        <v>1252152762.8599999</v>
      </c>
      <c r="D31" s="13">
        <v>88275460.700000048</v>
      </c>
      <c r="E31" s="13">
        <v>24886299.93</v>
      </c>
      <c r="F31" s="13">
        <v>30689455</v>
      </c>
      <c r="G31" s="14">
        <v>2.88</v>
      </c>
      <c r="H31" s="14">
        <v>0.81</v>
      </c>
      <c r="I31" s="13">
        <v>2073858.3274999999</v>
      </c>
      <c r="J31" s="15">
        <v>5</v>
      </c>
      <c r="K31" s="13">
        <v>77906169.062500045</v>
      </c>
      <c r="L31" s="13">
        <v>5379310.1400000099</v>
      </c>
      <c r="M31" s="13">
        <v>2310364.6400000094</v>
      </c>
      <c r="N31" s="179">
        <v>43647</v>
      </c>
      <c r="O31" s="16">
        <v>45839</v>
      </c>
      <c r="P31" s="13">
        <v>1304813.26</v>
      </c>
      <c r="Q31" s="222" t="e">
        <v>#VALUE!</v>
      </c>
    </row>
    <row r="32" spans="1:17" x14ac:dyDescent="0.2">
      <c r="A32" s="4" t="s">
        <v>53</v>
      </c>
      <c r="B32" s="13">
        <v>2950491414.54</v>
      </c>
      <c r="C32" s="13">
        <v>2746654163.8899999</v>
      </c>
      <c r="D32" s="13">
        <v>203837250.6500001</v>
      </c>
      <c r="E32" s="13">
        <v>74390087.640000001</v>
      </c>
      <c r="F32" s="13">
        <v>71178309</v>
      </c>
      <c r="G32" s="14">
        <v>2.86</v>
      </c>
      <c r="H32" s="14">
        <v>1.05</v>
      </c>
      <c r="I32" s="13">
        <v>6199173.9699999997</v>
      </c>
      <c r="J32" s="15">
        <v>7</v>
      </c>
      <c r="K32" s="13">
        <v>160443032.8600001</v>
      </c>
      <c r="L32" s="13">
        <v>8782947.5214285851</v>
      </c>
      <c r="M32" s="13" t="s">
        <v>42</v>
      </c>
      <c r="N32" s="179">
        <v>44075</v>
      </c>
      <c r="O32" s="16">
        <v>45901</v>
      </c>
      <c r="P32" s="13">
        <v>2773860.27</v>
      </c>
      <c r="Q32" s="222" t="e">
        <v>#VALUE!</v>
      </c>
    </row>
    <row r="33" spans="1:17" x14ac:dyDescent="0.2">
      <c r="A33" s="4" t="s">
        <v>60</v>
      </c>
      <c r="B33" s="13">
        <v>351543186.45999998</v>
      </c>
      <c r="C33" s="13">
        <v>327597223.81</v>
      </c>
      <c r="D33" s="13">
        <v>23945962.649999976</v>
      </c>
      <c r="E33" s="13">
        <v>7078730.8300000001</v>
      </c>
      <c r="F33" s="13">
        <v>8658249</v>
      </c>
      <c r="G33" s="14">
        <v>2.77</v>
      </c>
      <c r="H33" s="14">
        <v>0.82</v>
      </c>
      <c r="I33" s="13">
        <v>589894.23583333334</v>
      </c>
      <c r="J33" s="15">
        <v>2</v>
      </c>
      <c r="K33" s="13">
        <v>22766174.178333309</v>
      </c>
      <c r="L33" s="13">
        <v>3314732.3249999881</v>
      </c>
      <c r="M33" s="13">
        <v>1150170.0749999881</v>
      </c>
      <c r="N33" s="179">
        <v>43556</v>
      </c>
      <c r="O33" s="16">
        <v>45748</v>
      </c>
      <c r="P33" s="13">
        <v>0</v>
      </c>
      <c r="Q33" s="222" t="e">
        <v>#VALUE!</v>
      </c>
    </row>
    <row r="34" spans="1:17" x14ac:dyDescent="0.2">
      <c r="A34" s="4" t="s">
        <v>36</v>
      </c>
      <c r="B34" s="13">
        <v>392596167.93000001</v>
      </c>
      <c r="C34" s="13">
        <v>366923018.07999998</v>
      </c>
      <c r="D34" s="13">
        <v>25673149.850000024</v>
      </c>
      <c r="E34" s="13">
        <v>12646538.09</v>
      </c>
      <c r="F34" s="13">
        <v>9305817</v>
      </c>
      <c r="G34" s="14">
        <v>2.76</v>
      </c>
      <c r="H34" s="14">
        <v>1.36</v>
      </c>
      <c r="I34" s="13">
        <v>1053878.1741666666</v>
      </c>
      <c r="J34" s="15">
        <v>2</v>
      </c>
      <c r="K34" s="13">
        <v>23565393.501666691</v>
      </c>
      <c r="L34" s="13">
        <v>3530757.9250000119</v>
      </c>
      <c r="M34" s="13">
        <v>1204303.6750000119</v>
      </c>
      <c r="N34" s="179">
        <v>43556</v>
      </c>
      <c r="O34" s="16">
        <v>45748</v>
      </c>
      <c r="P34" s="13">
        <v>88266.71</v>
      </c>
      <c r="Q34" s="222" t="e">
        <v>#VALUE!</v>
      </c>
    </row>
    <row r="35" spans="1:17" x14ac:dyDescent="0.2">
      <c r="A35" s="4" t="s">
        <v>59</v>
      </c>
      <c r="B35" s="13">
        <v>285086766</v>
      </c>
      <c r="C35" s="13">
        <v>265691214</v>
      </c>
      <c r="D35" s="13">
        <v>19395552</v>
      </c>
      <c r="E35" s="13">
        <v>8266096.4100000001</v>
      </c>
      <c r="F35" s="13">
        <v>7485780</v>
      </c>
      <c r="G35" s="14">
        <v>2.59</v>
      </c>
      <c r="H35" s="14">
        <v>1.1000000000000001</v>
      </c>
      <c r="I35" s="13">
        <v>688841.36750000005</v>
      </c>
      <c r="J35" s="15">
        <v>5</v>
      </c>
      <c r="K35" s="13">
        <v>15951345.1625</v>
      </c>
      <c r="L35" s="13">
        <v>884798.4</v>
      </c>
      <c r="M35" s="13" t="s">
        <v>42</v>
      </c>
      <c r="N35" s="179">
        <v>43647</v>
      </c>
      <c r="O35" s="16">
        <v>45839</v>
      </c>
      <c r="P35" s="13">
        <v>171758</v>
      </c>
      <c r="Q35" s="222" t="e">
        <v>#VALUE!</v>
      </c>
    </row>
    <row r="36" spans="1:17" x14ac:dyDescent="0.2">
      <c r="A36" s="4" t="s">
        <v>57</v>
      </c>
      <c r="B36" s="13">
        <v>101611843</v>
      </c>
      <c r="C36" s="13">
        <v>94259564.299999997</v>
      </c>
      <c r="D36" s="13">
        <v>7352278.700000003</v>
      </c>
      <c r="E36" s="13">
        <v>2991542.37</v>
      </c>
      <c r="F36" s="13">
        <v>2910779</v>
      </c>
      <c r="G36" s="14">
        <v>2.5299999999999998</v>
      </c>
      <c r="H36" s="14">
        <v>1.03</v>
      </c>
      <c r="I36" s="13">
        <v>249295.19750000001</v>
      </c>
      <c r="J36" s="15">
        <v>5</v>
      </c>
      <c r="K36" s="13">
        <v>6105802.7125000032</v>
      </c>
      <c r="L36" s="13">
        <v>306144.1400000006</v>
      </c>
      <c r="M36" s="13" t="s">
        <v>42</v>
      </c>
      <c r="N36" s="179">
        <v>43647</v>
      </c>
      <c r="O36" s="16">
        <v>45839</v>
      </c>
      <c r="P36" s="13">
        <v>790785.38</v>
      </c>
      <c r="Q36" s="222" t="e">
        <v>#VALUE!</v>
      </c>
    </row>
    <row r="37" spans="1:17" x14ac:dyDescent="0.2">
      <c r="A37" s="4" t="s">
        <v>54</v>
      </c>
      <c r="B37" s="13">
        <v>1428807757.99</v>
      </c>
      <c r="C37" s="13">
        <v>1343430897.55</v>
      </c>
      <c r="D37" s="13">
        <v>85376860.440000057</v>
      </c>
      <c r="E37" s="13">
        <v>47906256.659999996</v>
      </c>
      <c r="F37" s="13">
        <v>34424780</v>
      </c>
      <c r="G37" s="14">
        <v>2.48</v>
      </c>
      <c r="H37" s="14">
        <v>1.39</v>
      </c>
      <c r="I37" s="13">
        <v>3992188.0549999997</v>
      </c>
      <c r="J37" s="15">
        <v>2</v>
      </c>
      <c r="K37" s="13">
        <v>77392484.330000058</v>
      </c>
      <c r="L37" s="13">
        <v>8263650.2200000286</v>
      </c>
      <c r="M37" s="13" t="s">
        <v>42</v>
      </c>
      <c r="N37" s="179">
        <v>43922</v>
      </c>
      <c r="O37" s="16">
        <v>45748</v>
      </c>
      <c r="P37" s="13">
        <v>6099137.29</v>
      </c>
      <c r="Q37" s="222" t="e">
        <v>#VALUE!</v>
      </c>
    </row>
    <row r="38" spans="1:17" x14ac:dyDescent="0.2">
      <c r="A38" s="4" t="s">
        <v>49</v>
      </c>
      <c r="B38" s="13">
        <v>1239388142.8299999</v>
      </c>
      <c r="C38" s="13">
        <v>1180279109.78</v>
      </c>
      <c r="D38" s="13">
        <v>59109033.049999952</v>
      </c>
      <c r="E38" s="13">
        <v>20321115.609999999</v>
      </c>
      <c r="F38" s="13">
        <v>24088947</v>
      </c>
      <c r="G38" s="14">
        <v>2.4500000000000002</v>
      </c>
      <c r="H38" s="14">
        <v>0.84</v>
      </c>
      <c r="I38" s="13">
        <v>1693426.3008333333</v>
      </c>
      <c r="J38" s="15">
        <v>5</v>
      </c>
      <c r="K38" s="13">
        <v>50641901.54583329</v>
      </c>
      <c r="L38" s="13">
        <v>2186227.8099999903</v>
      </c>
      <c r="M38" s="13" t="s">
        <v>42</v>
      </c>
      <c r="N38" s="179">
        <v>43647</v>
      </c>
      <c r="O38" s="16">
        <v>45839</v>
      </c>
      <c r="P38" s="13">
        <v>1179660.04</v>
      </c>
      <c r="Q38" s="222" t="e">
        <v>#VALUE!</v>
      </c>
    </row>
    <row r="39" spans="1:17" x14ac:dyDescent="0.2">
      <c r="A39" s="4" t="s">
        <v>62</v>
      </c>
      <c r="B39" s="13">
        <v>699328036.19000006</v>
      </c>
      <c r="C39" s="13">
        <v>665115532.79999995</v>
      </c>
      <c r="D39" s="13">
        <v>34212503.390000105</v>
      </c>
      <c r="E39" s="13">
        <v>13469109.550000001</v>
      </c>
      <c r="F39" s="13">
        <v>14024709</v>
      </c>
      <c r="G39" s="14">
        <v>2.44</v>
      </c>
      <c r="H39" s="14">
        <v>0.96</v>
      </c>
      <c r="I39" s="13">
        <v>1122425.7958333334</v>
      </c>
      <c r="J39" s="15">
        <v>2</v>
      </c>
      <c r="K39" s="13">
        <v>31967651.798333436</v>
      </c>
      <c r="L39" s="13">
        <v>3081542.6950000525</v>
      </c>
      <c r="M39" s="13" t="s">
        <v>42</v>
      </c>
      <c r="N39" s="179">
        <v>43922</v>
      </c>
      <c r="O39" s="16">
        <v>45748</v>
      </c>
      <c r="P39" s="13">
        <v>526630.55000000005</v>
      </c>
      <c r="Q39" s="222" t="e">
        <v>#VALUE!</v>
      </c>
    </row>
    <row r="40" spans="1:17" x14ac:dyDescent="0.2">
      <c r="A40" s="4" t="s">
        <v>29</v>
      </c>
      <c r="B40" s="13">
        <v>799406417.05999994</v>
      </c>
      <c r="C40" s="13">
        <v>756998671.79999995</v>
      </c>
      <c r="D40" s="13">
        <v>42407745.25999999</v>
      </c>
      <c r="E40" s="13">
        <v>29047925.920000002</v>
      </c>
      <c r="F40" s="13">
        <v>17480755</v>
      </c>
      <c r="G40" s="14">
        <v>2.4300000000000002</v>
      </c>
      <c r="H40" s="14">
        <v>1.66</v>
      </c>
      <c r="I40" s="13">
        <v>2420660.4933333336</v>
      </c>
      <c r="J40" s="15">
        <v>5</v>
      </c>
      <c r="K40" s="13">
        <v>30304442.793333322</v>
      </c>
      <c r="L40" s="13" t="s">
        <v>42</v>
      </c>
      <c r="M40" s="13" t="s">
        <v>42</v>
      </c>
      <c r="N40" s="179">
        <v>43647</v>
      </c>
      <c r="O40" s="16">
        <v>45839</v>
      </c>
      <c r="P40" s="13">
        <v>8262174.8600000003</v>
      </c>
      <c r="Q40" s="222" t="e">
        <v>#VALUE!</v>
      </c>
    </row>
    <row r="41" spans="1:17" x14ac:dyDescent="0.2">
      <c r="A41" s="4" t="s">
        <v>38</v>
      </c>
      <c r="B41" s="13">
        <v>528328839.02999997</v>
      </c>
      <c r="C41" s="13">
        <v>495853841.98000002</v>
      </c>
      <c r="D41" s="13">
        <v>32474997.049999952</v>
      </c>
      <c r="E41" s="13">
        <v>13710252.550000001</v>
      </c>
      <c r="F41" s="13">
        <v>13880022</v>
      </c>
      <c r="G41" s="14">
        <v>2.34</v>
      </c>
      <c r="H41" s="14">
        <v>0.99</v>
      </c>
      <c r="I41" s="13">
        <v>1142521.0458333334</v>
      </c>
      <c r="J41" s="15">
        <v>5</v>
      </c>
      <c r="K41" s="13">
        <v>26762391.820833284</v>
      </c>
      <c r="L41" s="13" t="s">
        <v>42</v>
      </c>
      <c r="M41" s="13" t="s">
        <v>42</v>
      </c>
      <c r="N41" s="179">
        <v>43647</v>
      </c>
      <c r="O41" s="16">
        <v>45839</v>
      </c>
      <c r="P41" s="13">
        <v>1032233.32</v>
      </c>
      <c r="Q41" s="222" t="e">
        <v>#VALUE!</v>
      </c>
    </row>
    <row r="42" spans="1:17" x14ac:dyDescent="0.2">
      <c r="A42" s="4" t="s">
        <v>66</v>
      </c>
      <c r="B42" s="13">
        <v>1985336227.8699999</v>
      </c>
      <c r="C42" s="13">
        <v>1879613610.1900001</v>
      </c>
      <c r="D42" s="13">
        <v>105722617.67999983</v>
      </c>
      <c r="E42" s="13">
        <v>44100471.979999997</v>
      </c>
      <c r="F42" s="13">
        <v>45588088</v>
      </c>
      <c r="G42" s="14">
        <v>2.3199999999999998</v>
      </c>
      <c r="H42" s="14">
        <v>0.97</v>
      </c>
      <c r="I42" s="13">
        <v>3675039.3316666665</v>
      </c>
      <c r="J42" s="15">
        <v>5</v>
      </c>
      <c r="K42" s="13">
        <v>87347421.021666497</v>
      </c>
      <c r="L42" s="13" t="s">
        <v>42</v>
      </c>
      <c r="M42" s="13" t="s">
        <v>42</v>
      </c>
      <c r="N42" s="179">
        <v>43647</v>
      </c>
      <c r="O42" s="16">
        <v>45839</v>
      </c>
      <c r="P42" s="13">
        <v>4774987.1399999997</v>
      </c>
      <c r="Q42" s="222" t="e">
        <v>#VALUE!</v>
      </c>
    </row>
    <row r="43" spans="1:17" x14ac:dyDescent="0.2">
      <c r="A43" s="4" t="s">
        <v>67</v>
      </c>
      <c r="B43" s="13">
        <v>1110426785</v>
      </c>
      <c r="C43" s="13">
        <v>1046764605.0599999</v>
      </c>
      <c r="D43" s="13">
        <v>63662179.940000057</v>
      </c>
      <c r="E43" s="13">
        <v>23435299.719999999</v>
      </c>
      <c r="F43" s="13">
        <v>27485501</v>
      </c>
      <c r="G43" s="14">
        <v>2.3199999999999998</v>
      </c>
      <c r="H43" s="14">
        <v>0.85</v>
      </c>
      <c r="I43" s="13">
        <v>1952941.6433333333</v>
      </c>
      <c r="J43" s="15">
        <v>2</v>
      </c>
      <c r="K43" s="13">
        <v>59756296.653333388</v>
      </c>
      <c r="L43" s="13">
        <v>4345588.9700000286</v>
      </c>
      <c r="M43" s="13" t="s">
        <v>42</v>
      </c>
      <c r="N43" s="179">
        <v>43922</v>
      </c>
      <c r="O43" s="16">
        <v>45748</v>
      </c>
      <c r="P43" s="13">
        <v>4961061.79</v>
      </c>
      <c r="Q43" s="222" t="e">
        <v>#VALUE!</v>
      </c>
    </row>
    <row r="44" spans="1:17" x14ac:dyDescent="0.2">
      <c r="A44" s="4" t="s">
        <v>68</v>
      </c>
      <c r="B44" s="13">
        <v>509113932</v>
      </c>
      <c r="C44" s="13">
        <v>482656916.80000001</v>
      </c>
      <c r="D44" s="13">
        <v>26457015.199999988</v>
      </c>
      <c r="E44" s="13">
        <v>11759630.960000001</v>
      </c>
      <c r="F44" s="13">
        <v>11867952</v>
      </c>
      <c r="G44" s="14">
        <v>2.23</v>
      </c>
      <c r="H44" s="14">
        <v>0.99</v>
      </c>
      <c r="I44" s="13">
        <v>979969.2466666667</v>
      </c>
      <c r="J44" s="15">
        <v>-1</v>
      </c>
      <c r="K44" s="13" t="s">
        <v>20</v>
      </c>
      <c r="L44" s="13" t="s">
        <v>20</v>
      </c>
      <c r="M44" s="13" t="s">
        <v>20</v>
      </c>
      <c r="N44" s="179">
        <v>43831</v>
      </c>
      <c r="O44" s="16">
        <v>45658</v>
      </c>
      <c r="P44" s="13">
        <v>276606.77</v>
      </c>
      <c r="Q44" s="222" t="e">
        <v>#VALUE!</v>
      </c>
    </row>
    <row r="45" spans="1:17" x14ac:dyDescent="0.2">
      <c r="A45" s="4" t="s">
        <v>46</v>
      </c>
      <c r="B45" s="13">
        <v>314446387.48000002</v>
      </c>
      <c r="C45" s="13">
        <v>295743196.38999999</v>
      </c>
      <c r="D45" s="13">
        <v>18703191.090000033</v>
      </c>
      <c r="E45" s="13">
        <v>10178315.51</v>
      </c>
      <c r="F45" s="13">
        <v>8369791</v>
      </c>
      <c r="G45" s="14">
        <v>2.23</v>
      </c>
      <c r="H45" s="14">
        <v>1.22</v>
      </c>
      <c r="I45" s="13">
        <v>848192.95916666661</v>
      </c>
      <c r="J45" s="15">
        <v>5</v>
      </c>
      <c r="K45" s="13">
        <v>14462226.294166699</v>
      </c>
      <c r="L45" s="13" t="s">
        <v>42</v>
      </c>
      <c r="M45" s="13" t="s">
        <v>42</v>
      </c>
      <c r="N45" s="179">
        <v>43647</v>
      </c>
      <c r="O45" s="16">
        <v>45839</v>
      </c>
      <c r="P45" s="13">
        <v>614805.23</v>
      </c>
      <c r="Q45" s="222" t="e">
        <v>#VALUE!</v>
      </c>
    </row>
    <row r="46" spans="1:17" x14ac:dyDescent="0.2">
      <c r="A46" s="4" t="s">
        <v>65</v>
      </c>
      <c r="B46" s="13">
        <v>398824318</v>
      </c>
      <c r="C46" s="13">
        <v>377661304.13</v>
      </c>
      <c r="D46" s="13">
        <v>21163013.870000005</v>
      </c>
      <c r="E46" s="13">
        <v>11137190.939999999</v>
      </c>
      <c r="F46" s="13">
        <v>9664284</v>
      </c>
      <c r="G46" s="14">
        <v>2.19</v>
      </c>
      <c r="H46" s="14">
        <v>1.1499999999999999</v>
      </c>
      <c r="I46" s="13">
        <v>928099.245</v>
      </c>
      <c r="J46" s="15">
        <v>5</v>
      </c>
      <c r="K46" s="13">
        <v>16522517.645000005</v>
      </c>
      <c r="L46" s="13" t="s">
        <v>42</v>
      </c>
      <c r="M46" s="13" t="s">
        <v>42</v>
      </c>
      <c r="N46" s="179">
        <v>43647</v>
      </c>
      <c r="O46" s="16">
        <v>45839</v>
      </c>
      <c r="P46" s="13">
        <v>786480.54</v>
      </c>
      <c r="Q46" s="222" t="e">
        <v>#VALUE!</v>
      </c>
    </row>
    <row r="47" spans="1:17" x14ac:dyDescent="0.2">
      <c r="A47" s="4" t="s">
        <v>43</v>
      </c>
      <c r="B47" s="13">
        <v>254239457</v>
      </c>
      <c r="C47" s="13">
        <v>242113133.25</v>
      </c>
      <c r="D47" s="13">
        <v>12126323.75</v>
      </c>
      <c r="E47" s="13">
        <v>9350511.5099999998</v>
      </c>
      <c r="F47" s="13">
        <v>5680880</v>
      </c>
      <c r="G47" s="14">
        <v>2.13</v>
      </c>
      <c r="H47" s="14">
        <v>1.65</v>
      </c>
      <c r="I47" s="13">
        <v>779209.29249999998</v>
      </c>
      <c r="J47" s="15">
        <v>-1</v>
      </c>
      <c r="K47" s="13" t="s">
        <v>20</v>
      </c>
      <c r="L47" s="13" t="s">
        <v>20</v>
      </c>
      <c r="M47" s="13" t="s">
        <v>20</v>
      </c>
      <c r="N47" s="179">
        <v>43831</v>
      </c>
      <c r="O47" s="16">
        <v>45658</v>
      </c>
      <c r="P47" s="13">
        <v>607404.1</v>
      </c>
      <c r="Q47" s="222" t="e">
        <v>#VALUE!</v>
      </c>
    </row>
    <row r="48" spans="1:17" x14ac:dyDescent="0.2">
      <c r="A48" s="4" t="s">
        <v>61</v>
      </c>
      <c r="B48" s="13">
        <v>1085275104.5</v>
      </c>
      <c r="C48" s="13">
        <v>1044294386.45</v>
      </c>
      <c r="D48" s="13">
        <v>40980718.049999952</v>
      </c>
      <c r="E48" s="13">
        <v>22344906.260000002</v>
      </c>
      <c r="F48" s="13">
        <v>22858857</v>
      </c>
      <c r="G48" s="14">
        <v>1.79</v>
      </c>
      <c r="H48" s="14">
        <v>0.98</v>
      </c>
      <c r="I48" s="13">
        <v>1862075.5216666667</v>
      </c>
      <c r="J48" s="15">
        <v>2</v>
      </c>
      <c r="K48" s="13">
        <v>37256567.006666616</v>
      </c>
      <c r="L48" s="13" t="s">
        <v>42</v>
      </c>
      <c r="M48" s="13" t="s">
        <v>42</v>
      </c>
      <c r="N48" s="179">
        <v>43556</v>
      </c>
      <c r="O48" s="16">
        <v>45748</v>
      </c>
      <c r="P48" s="13">
        <v>2405741.2799999998</v>
      </c>
      <c r="Q48" s="222" t="e">
        <v>#VALUE!</v>
      </c>
    </row>
    <row r="49" spans="1:17" x14ac:dyDescent="0.2">
      <c r="A49" s="4" t="s">
        <v>58</v>
      </c>
      <c r="B49" s="13">
        <v>1205115490</v>
      </c>
      <c r="C49" s="13">
        <v>1165066464.3199999</v>
      </c>
      <c r="D49" s="13">
        <v>40049025.680000067</v>
      </c>
      <c r="E49" s="13">
        <v>21569645.02</v>
      </c>
      <c r="F49" s="13">
        <v>22499042</v>
      </c>
      <c r="G49" s="14">
        <v>1.78</v>
      </c>
      <c r="H49" s="14">
        <v>0.96</v>
      </c>
      <c r="I49" s="13">
        <v>1797470.4183333332</v>
      </c>
      <c r="J49" s="15">
        <v>2</v>
      </c>
      <c r="K49" s="13">
        <v>36454084.843333401</v>
      </c>
      <c r="L49" s="13" t="s">
        <v>42</v>
      </c>
      <c r="M49" s="13" t="s">
        <v>42</v>
      </c>
      <c r="N49" s="179">
        <v>43922</v>
      </c>
      <c r="O49" s="16">
        <v>45748</v>
      </c>
      <c r="P49" s="13">
        <v>919424.43</v>
      </c>
      <c r="Q49" s="222" t="e">
        <v>#VALUE!</v>
      </c>
    </row>
    <row r="50" spans="1:17" x14ac:dyDescent="0.2">
      <c r="A50" s="4" t="s">
        <v>48</v>
      </c>
      <c r="B50" s="13">
        <v>545409679.30999994</v>
      </c>
      <c r="C50" s="13">
        <v>529315037.95999998</v>
      </c>
      <c r="D50" s="13">
        <v>16094641.349999964</v>
      </c>
      <c r="E50" s="13">
        <v>16792880.649999999</v>
      </c>
      <c r="F50" s="13">
        <v>11656242</v>
      </c>
      <c r="G50" s="14">
        <v>1.38</v>
      </c>
      <c r="H50" s="14">
        <v>1.44</v>
      </c>
      <c r="I50" s="13">
        <v>1399406.7208333332</v>
      </c>
      <c r="J50" s="15">
        <v>-1</v>
      </c>
      <c r="K50" s="13" t="s">
        <v>20</v>
      </c>
      <c r="L50" s="13" t="s">
        <v>20</v>
      </c>
      <c r="M50" s="13" t="s">
        <v>20</v>
      </c>
      <c r="N50" s="179">
        <v>43831</v>
      </c>
      <c r="O50" s="16">
        <v>45658</v>
      </c>
      <c r="P50" s="13">
        <v>1755426</v>
      </c>
      <c r="Q50" s="222" t="e">
        <v>#VALUE!</v>
      </c>
    </row>
    <row r="51" spans="1:17" x14ac:dyDescent="0.2">
      <c r="A51" s="4" t="s">
        <v>69</v>
      </c>
      <c r="B51" s="13">
        <v>238203233</v>
      </c>
      <c r="C51" s="13">
        <v>233685857.31999999</v>
      </c>
      <c r="D51" s="13">
        <v>4517375.6800000072</v>
      </c>
      <c r="E51" s="13">
        <v>6509356.8499999996</v>
      </c>
      <c r="F51" s="13">
        <v>5501208</v>
      </c>
      <c r="G51" s="14">
        <v>0.82</v>
      </c>
      <c r="H51" s="14">
        <v>1.18</v>
      </c>
      <c r="I51" s="13">
        <v>542446.40416666667</v>
      </c>
      <c r="J51" s="15">
        <v>5</v>
      </c>
      <c r="K51" s="13">
        <v>1805143.6591666737</v>
      </c>
      <c r="L51" s="13" t="s">
        <v>42</v>
      </c>
      <c r="M51" s="13" t="s">
        <v>42</v>
      </c>
      <c r="N51" s="179">
        <v>43647</v>
      </c>
      <c r="O51" s="16">
        <v>45839</v>
      </c>
      <c r="P51" s="13">
        <v>242071.11</v>
      </c>
      <c r="Q51" s="222" t="e">
        <v>#VALUE!</v>
      </c>
    </row>
    <row r="52" spans="1:17" x14ac:dyDescent="0.2">
      <c r="A52" s="4" t="s">
        <v>70</v>
      </c>
      <c r="B52" s="13">
        <v>75470621</v>
      </c>
      <c r="C52" s="13">
        <v>73613593.989999995</v>
      </c>
      <c r="D52" s="18">
        <v>1857027.0100000054</v>
      </c>
      <c r="E52" s="13">
        <v>2195409.02</v>
      </c>
      <c r="F52" s="13">
        <v>2752623</v>
      </c>
      <c r="G52" s="14">
        <v>0.67</v>
      </c>
      <c r="H52" s="14">
        <v>0.8</v>
      </c>
      <c r="I52" s="18">
        <v>182950.75166666668</v>
      </c>
      <c r="J52" s="15">
        <v>5</v>
      </c>
      <c r="K52" s="18">
        <v>942273.25166667195</v>
      </c>
      <c r="L52" s="18" t="s">
        <v>42</v>
      </c>
      <c r="M52" s="18" t="s">
        <v>42</v>
      </c>
      <c r="N52" s="180">
        <v>43647</v>
      </c>
      <c r="O52" s="16">
        <v>45839</v>
      </c>
      <c r="P52" s="13">
        <v>7074.16</v>
      </c>
      <c r="Q52" s="222" t="e">
        <v>#VALUE!</v>
      </c>
    </row>
    <row r="53" spans="1:17" x14ac:dyDescent="0.25">
      <c r="A53" s="34" t="s">
        <v>71</v>
      </c>
      <c r="B53" s="31">
        <v>43808641242.440002</v>
      </c>
      <c r="C53" s="13">
        <v>40482355989.519997</v>
      </c>
      <c r="D53" s="31">
        <v>3326285252.9200058</v>
      </c>
      <c r="E53" s="13">
        <v>976518579.95000005</v>
      </c>
      <c r="F53" s="13">
        <v>983528971</v>
      </c>
      <c r="G53" s="14">
        <v>3.38</v>
      </c>
      <c r="H53" s="14">
        <v>0.99</v>
      </c>
      <c r="I53" s="31">
        <v>81376548.329166666</v>
      </c>
      <c r="J53" s="32"/>
      <c r="K53" s="33"/>
      <c r="L53" s="33"/>
      <c r="M53" s="33"/>
      <c r="N53" s="33"/>
      <c r="O53" s="33"/>
      <c r="P53" s="31">
        <v>80757223.090000004</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34</v>
      </c>
      <c r="H56" s="25"/>
    </row>
    <row r="57" spans="1:17" ht="27" customHeight="1" thickBot="1" x14ac:dyDescent="0.3">
      <c r="D57" s="228" t="s">
        <v>73</v>
      </c>
      <c r="E57" s="229"/>
      <c r="F57" s="229"/>
      <c r="G57" s="27"/>
      <c r="H57" s="28">
        <v>30</v>
      </c>
    </row>
  </sheetData>
  <mergeCells count="2">
    <mergeCell ref="D56:F56"/>
    <mergeCell ref="D57:F57"/>
  </mergeCells>
  <conditionalFormatting sqref="G54">
    <cfRule type="cellIs" dxfId="153" priority="13" stopIfTrue="1" operator="greaterThan">
      <formula>2.5</formula>
    </cfRule>
    <cfRule type="cellIs" dxfId="152" priority="14" stopIfTrue="1" operator="between">
      <formula>2.01</formula>
      <formula>2.5</formula>
    </cfRule>
  </conditionalFormatting>
  <conditionalFormatting sqref="H3:H53">
    <cfRule type="cellIs" dxfId="151" priority="12" stopIfTrue="1" operator="lessThan">
      <formula>1</formula>
    </cfRule>
  </conditionalFormatting>
  <conditionalFormatting sqref="G3:G53">
    <cfRule type="cellIs" dxfId="150" priority="10" stopIfTrue="1" operator="greaterThan">
      <formula>2.5</formula>
    </cfRule>
    <cfRule type="cellIs" dxfId="149" priority="11" stopIfTrue="1" operator="between">
      <formula>2.01</formula>
      <formula>2.5</formula>
    </cfRule>
  </conditionalFormatting>
  <conditionalFormatting sqref="K3:K52">
    <cfRule type="cellIs" dxfId="148" priority="8" stopIfTrue="1" operator="greaterThan">
      <formula>$F3*2.5</formula>
    </cfRule>
    <cfRule type="cellIs" dxfId="147" priority="9" stopIfTrue="1" operator="between">
      <formula>$F3*2</formula>
      <formula>$F3*2.5</formula>
    </cfRule>
  </conditionalFormatting>
  <conditionalFormatting sqref="G54">
    <cfRule type="cellIs" dxfId="146" priority="6" stopIfTrue="1" operator="greaterThan">
      <formula>2.5</formula>
    </cfRule>
    <cfRule type="cellIs" dxfId="145" priority="7" stopIfTrue="1" operator="between">
      <formula>2.01</formula>
      <formula>2.5</formula>
    </cfRule>
  </conditionalFormatting>
  <conditionalFormatting sqref="H3:H53">
    <cfRule type="cellIs" dxfId="144" priority="5" stopIfTrue="1" operator="lessThan">
      <formula>1</formula>
    </cfRule>
  </conditionalFormatting>
  <conditionalFormatting sqref="G3:G53">
    <cfRule type="cellIs" dxfId="143" priority="3" stopIfTrue="1" operator="greaterThan">
      <formula>2.5</formula>
    </cfRule>
    <cfRule type="cellIs" dxfId="142" priority="4" stopIfTrue="1" operator="between">
      <formula>2.01</formula>
      <formula>2.5</formula>
    </cfRule>
  </conditionalFormatting>
  <conditionalFormatting sqref="K3:K52">
    <cfRule type="cellIs" dxfId="141" priority="1" stopIfTrue="1" operator="greaterThan">
      <formula>$F3*2.5</formula>
    </cfRule>
    <cfRule type="cellIs" dxfId="140"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ED9A-97E6-483E-9C4C-2C71881A41A2}">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110</v>
      </c>
      <c r="B1" s="178" t="s">
        <v>111</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22</v>
      </c>
      <c r="B3" s="13">
        <v>722479384.32000005</v>
      </c>
      <c r="C3" s="13">
        <v>644167439.55999994</v>
      </c>
      <c r="D3" s="13">
        <v>78311944.76000011</v>
      </c>
      <c r="E3" s="13">
        <v>12852931.449999999</v>
      </c>
      <c r="F3" s="13">
        <v>13783001</v>
      </c>
      <c r="G3" s="14">
        <v>5.68</v>
      </c>
      <c r="H3" s="14">
        <v>0.93</v>
      </c>
      <c r="I3" s="13">
        <v>1071077.6208333333</v>
      </c>
      <c r="J3" s="15">
        <v>4</v>
      </c>
      <c r="K3" s="13">
        <v>74027634.276666775</v>
      </c>
      <c r="L3" s="13">
        <v>12686485.690000027</v>
      </c>
      <c r="M3" s="13">
        <v>10963610.565000027</v>
      </c>
      <c r="N3" s="179">
        <v>43647</v>
      </c>
      <c r="O3" s="16">
        <v>45839</v>
      </c>
      <c r="P3" s="13">
        <v>704281.71</v>
      </c>
      <c r="Q3" s="223" t="e">
        <v>#VALUE!</v>
      </c>
    </row>
    <row r="4" spans="1:17" x14ac:dyDescent="0.2">
      <c r="A4" s="4" t="s">
        <v>21</v>
      </c>
      <c r="B4" s="13">
        <v>1834758280.3599999</v>
      </c>
      <c r="C4" s="13">
        <v>1574682443.5</v>
      </c>
      <c r="D4" s="13">
        <v>260075836.8599999</v>
      </c>
      <c r="E4" s="13">
        <v>45597926.380000003</v>
      </c>
      <c r="F4" s="13">
        <v>46162390</v>
      </c>
      <c r="G4" s="14">
        <v>5.63</v>
      </c>
      <c r="H4" s="14">
        <v>0.99</v>
      </c>
      <c r="I4" s="13">
        <v>3799827.1983333337</v>
      </c>
      <c r="J4" s="15">
        <v>-2</v>
      </c>
      <c r="K4" s="13" t="s">
        <v>20</v>
      </c>
      <c r="L4" s="13" t="s">
        <v>20</v>
      </c>
      <c r="M4" s="13" t="s">
        <v>20</v>
      </c>
      <c r="N4" s="179">
        <v>43831</v>
      </c>
      <c r="O4" s="16">
        <v>45658</v>
      </c>
      <c r="P4" s="13">
        <v>2396536.7400000002</v>
      </c>
      <c r="Q4" s="222" t="e">
        <v>#VALUE!</v>
      </c>
    </row>
    <row r="5" spans="1:17" x14ac:dyDescent="0.2">
      <c r="A5" s="4" t="s">
        <v>24</v>
      </c>
      <c r="B5" s="13">
        <v>1503333344.97</v>
      </c>
      <c r="C5" s="13">
        <v>1313767074.24</v>
      </c>
      <c r="D5" s="13">
        <v>189566270.73000002</v>
      </c>
      <c r="E5" s="13">
        <v>20314031.280000001</v>
      </c>
      <c r="F5" s="13">
        <v>34090474</v>
      </c>
      <c r="G5" s="14">
        <v>5.56</v>
      </c>
      <c r="H5" s="14">
        <v>0.6</v>
      </c>
      <c r="I5" s="13">
        <v>1692835.9400000002</v>
      </c>
      <c r="J5" s="15">
        <v>4</v>
      </c>
      <c r="K5" s="13">
        <v>182794926.97000003</v>
      </c>
      <c r="L5" s="13">
        <v>30346330.682500005</v>
      </c>
      <c r="M5" s="13">
        <v>26085021.432500005</v>
      </c>
      <c r="N5" s="179">
        <v>43647</v>
      </c>
      <c r="O5" s="16">
        <v>45839</v>
      </c>
      <c r="P5" s="13">
        <v>1100523.1200000001</v>
      </c>
      <c r="Q5" s="222" t="e">
        <v>#VALUE!</v>
      </c>
    </row>
    <row r="6" spans="1:17" x14ac:dyDescent="0.2">
      <c r="A6" s="4" t="s">
        <v>19</v>
      </c>
      <c r="B6" s="13">
        <v>1137390436.8499999</v>
      </c>
      <c r="C6" s="13">
        <v>1007391066.24</v>
      </c>
      <c r="D6" s="13">
        <v>129999370.6099999</v>
      </c>
      <c r="E6" s="13">
        <v>24356222.539999999</v>
      </c>
      <c r="F6" s="13">
        <v>24778539</v>
      </c>
      <c r="G6" s="14">
        <v>5.25</v>
      </c>
      <c r="H6" s="14">
        <v>0.98</v>
      </c>
      <c r="I6" s="13">
        <v>2029685.2116666667</v>
      </c>
      <c r="J6" s="15">
        <v>4</v>
      </c>
      <c r="K6" s="13">
        <v>121880629.76333323</v>
      </c>
      <c r="L6" s="13">
        <v>20110573.152499974</v>
      </c>
      <c r="M6" s="13">
        <v>17013255.777499974</v>
      </c>
      <c r="N6" s="179">
        <v>43647</v>
      </c>
      <c r="O6" s="16">
        <v>45839</v>
      </c>
      <c r="P6" s="13">
        <v>79014.259999999995</v>
      </c>
      <c r="Q6" s="222" t="e">
        <v>#VALUE!</v>
      </c>
    </row>
    <row r="7" spans="1:17" x14ac:dyDescent="0.2">
      <c r="A7" s="4" t="s">
        <v>26</v>
      </c>
      <c r="B7" s="13">
        <v>124445693.39</v>
      </c>
      <c r="C7" s="13">
        <v>108189336.29000001</v>
      </c>
      <c r="D7" s="13">
        <v>16256357.099999994</v>
      </c>
      <c r="E7" s="13">
        <v>3813612.3</v>
      </c>
      <c r="F7" s="13">
        <v>3545933</v>
      </c>
      <c r="G7" s="14">
        <v>4.58</v>
      </c>
      <c r="H7" s="14">
        <v>1.08</v>
      </c>
      <c r="I7" s="13">
        <v>317801.02499999997</v>
      </c>
      <c r="J7" s="15">
        <v>-2</v>
      </c>
      <c r="K7" s="13" t="s">
        <v>20</v>
      </c>
      <c r="L7" s="13" t="s">
        <v>20</v>
      </c>
      <c r="M7" s="13" t="s">
        <v>20</v>
      </c>
      <c r="N7" s="179">
        <v>43831</v>
      </c>
      <c r="O7" s="16">
        <v>45658</v>
      </c>
      <c r="P7" s="13">
        <v>516239.11</v>
      </c>
      <c r="Q7" s="222" t="e">
        <v>#VALUE!</v>
      </c>
    </row>
    <row r="8" spans="1:17" x14ac:dyDescent="0.2">
      <c r="A8" s="4" t="s">
        <v>31</v>
      </c>
      <c r="B8" s="13">
        <v>504504813</v>
      </c>
      <c r="C8" s="13">
        <v>454612095.89999998</v>
      </c>
      <c r="D8" s="13">
        <v>49892717.100000024</v>
      </c>
      <c r="E8" s="13">
        <v>10614657.65</v>
      </c>
      <c r="F8" s="13">
        <v>10946097</v>
      </c>
      <c r="G8" s="14">
        <v>4.5599999999999996</v>
      </c>
      <c r="H8" s="14">
        <v>0.97</v>
      </c>
      <c r="I8" s="13">
        <v>884554.8041666667</v>
      </c>
      <c r="J8" s="15">
        <v>-2</v>
      </c>
      <c r="K8" s="13" t="s">
        <v>20</v>
      </c>
      <c r="L8" s="13" t="s">
        <v>20</v>
      </c>
      <c r="M8" s="13" t="s">
        <v>20</v>
      </c>
      <c r="N8" s="179">
        <v>43831</v>
      </c>
      <c r="O8" s="16">
        <v>45658</v>
      </c>
      <c r="P8" s="13">
        <v>-113370.8</v>
      </c>
      <c r="Q8" s="222" t="e">
        <v>#VALUE!</v>
      </c>
    </row>
    <row r="9" spans="1:17" x14ac:dyDescent="0.2">
      <c r="A9" s="4" t="s">
        <v>27</v>
      </c>
      <c r="B9" s="13">
        <v>872347192</v>
      </c>
      <c r="C9" s="13">
        <v>789325324.66999996</v>
      </c>
      <c r="D9" s="13">
        <v>83021867.330000043</v>
      </c>
      <c r="E9" s="13">
        <v>15534345.630000001</v>
      </c>
      <c r="F9" s="13">
        <v>19090913</v>
      </c>
      <c r="G9" s="14">
        <v>4.3499999999999996</v>
      </c>
      <c r="H9" s="14">
        <v>0.81</v>
      </c>
      <c r="I9" s="13">
        <v>1294528.8025</v>
      </c>
      <c r="J9" s="15">
        <v>7</v>
      </c>
      <c r="K9" s="13">
        <v>73960165.712500036</v>
      </c>
      <c r="L9" s="13">
        <v>6405720.190000006</v>
      </c>
      <c r="M9" s="13">
        <v>5042083.5471428633</v>
      </c>
      <c r="N9" s="179">
        <v>43739</v>
      </c>
      <c r="O9" s="16">
        <v>45931</v>
      </c>
      <c r="P9" s="13">
        <v>1166607.01</v>
      </c>
      <c r="Q9" s="222" t="e">
        <v>#VALUE!</v>
      </c>
    </row>
    <row r="10" spans="1:17" x14ac:dyDescent="0.2">
      <c r="A10" s="4" t="s">
        <v>28</v>
      </c>
      <c r="B10" s="13">
        <v>1966895481</v>
      </c>
      <c r="C10" s="13">
        <v>1872609095.1600001</v>
      </c>
      <c r="D10" s="13">
        <v>94286385.839999914</v>
      </c>
      <c r="E10" s="13">
        <v>21730224.800000001</v>
      </c>
      <c r="F10" s="13">
        <v>21788490</v>
      </c>
      <c r="G10" s="14">
        <v>4.33</v>
      </c>
      <c r="H10" s="14">
        <v>1</v>
      </c>
      <c r="I10" s="13">
        <v>1810852.0666666667</v>
      </c>
      <c r="J10" s="15">
        <v>4</v>
      </c>
      <c r="K10" s="13">
        <v>87042977.573333248</v>
      </c>
      <c r="L10" s="13">
        <v>12677351.459999979</v>
      </c>
      <c r="M10" s="13">
        <v>9953790.2099999785</v>
      </c>
      <c r="N10" s="179">
        <v>43647</v>
      </c>
      <c r="O10" s="16">
        <v>45839</v>
      </c>
      <c r="P10" s="13">
        <v>1468000.26</v>
      </c>
      <c r="Q10" s="222" t="e">
        <v>#VALUE!</v>
      </c>
    </row>
    <row r="11" spans="1:17" x14ac:dyDescent="0.2">
      <c r="A11" s="4" t="s">
        <v>32</v>
      </c>
      <c r="B11" s="13">
        <v>1194714205.73</v>
      </c>
      <c r="C11" s="13">
        <v>1080209531.53</v>
      </c>
      <c r="D11" s="13">
        <v>114504674.20000005</v>
      </c>
      <c r="E11" s="13">
        <v>21758663.640000001</v>
      </c>
      <c r="F11" s="13">
        <v>26571929</v>
      </c>
      <c r="G11" s="14">
        <v>4.3099999999999996</v>
      </c>
      <c r="H11" s="14">
        <v>0.82</v>
      </c>
      <c r="I11" s="13">
        <v>1813221.97</v>
      </c>
      <c r="J11" s="15">
        <v>4</v>
      </c>
      <c r="K11" s="13">
        <v>107251786.32000005</v>
      </c>
      <c r="L11" s="13">
        <v>15340204.050000012</v>
      </c>
      <c r="M11" s="13">
        <v>12018712.925000012</v>
      </c>
      <c r="N11" s="179">
        <v>43647</v>
      </c>
      <c r="O11" s="16">
        <v>45839</v>
      </c>
      <c r="P11" s="13">
        <v>1924073.02</v>
      </c>
      <c r="Q11" s="222" t="e">
        <v>#VALUE!</v>
      </c>
    </row>
    <row r="12" spans="1:17" x14ac:dyDescent="0.2">
      <c r="A12" s="4" t="s">
        <v>37</v>
      </c>
      <c r="B12" s="13">
        <v>190999038.36000001</v>
      </c>
      <c r="C12" s="13">
        <v>175710265.75</v>
      </c>
      <c r="D12" s="13">
        <v>15288772.610000014</v>
      </c>
      <c r="E12" s="13">
        <v>3386452.58</v>
      </c>
      <c r="F12" s="13">
        <v>3551615</v>
      </c>
      <c r="G12" s="14">
        <v>4.3</v>
      </c>
      <c r="H12" s="14">
        <v>0.95</v>
      </c>
      <c r="I12" s="13">
        <v>282204.38166666665</v>
      </c>
      <c r="J12" s="15">
        <v>4</v>
      </c>
      <c r="K12" s="13">
        <v>14159955.083333347</v>
      </c>
      <c r="L12" s="13">
        <v>2046385.6525000036</v>
      </c>
      <c r="M12" s="13">
        <v>1602433.7775000036</v>
      </c>
      <c r="N12" s="179">
        <v>43647</v>
      </c>
      <c r="O12" s="16">
        <v>45839</v>
      </c>
      <c r="P12" s="13">
        <v>497592.93</v>
      </c>
      <c r="Q12" s="222" t="e">
        <v>#VALUE!</v>
      </c>
    </row>
    <row r="13" spans="1:17" x14ac:dyDescent="0.2">
      <c r="A13" s="4" t="s">
        <v>39</v>
      </c>
      <c r="B13" s="13">
        <v>511163315.91000003</v>
      </c>
      <c r="C13" s="13">
        <v>465755541.32999998</v>
      </c>
      <c r="D13" s="13">
        <v>45407774.580000043</v>
      </c>
      <c r="E13" s="13">
        <v>5423764.4199999999</v>
      </c>
      <c r="F13" s="13">
        <v>10598087</v>
      </c>
      <c r="G13" s="14">
        <v>4.28</v>
      </c>
      <c r="H13" s="14">
        <v>0.51</v>
      </c>
      <c r="I13" s="13">
        <v>451980.36833333335</v>
      </c>
      <c r="J13" s="15">
        <v>4</v>
      </c>
      <c r="K13" s="13">
        <v>43599853.106666707</v>
      </c>
      <c r="L13" s="13">
        <v>6052900.1450000107</v>
      </c>
      <c r="M13" s="13">
        <v>4728139.2700000107</v>
      </c>
      <c r="N13" s="179">
        <v>43647</v>
      </c>
      <c r="O13" s="16">
        <v>45839</v>
      </c>
      <c r="P13" s="13">
        <v>959178.23</v>
      </c>
      <c r="Q13" s="222" t="e">
        <v>#VALUE!</v>
      </c>
    </row>
    <row r="14" spans="1:17" x14ac:dyDescent="0.2">
      <c r="A14" s="4" t="s">
        <v>25</v>
      </c>
      <c r="B14" s="13">
        <v>271317340</v>
      </c>
      <c r="C14" s="13">
        <v>244890369.69</v>
      </c>
      <c r="D14" s="13">
        <v>26426970.310000002</v>
      </c>
      <c r="E14" s="13">
        <v>7173594.4199999999</v>
      </c>
      <c r="F14" s="13">
        <v>6196840</v>
      </c>
      <c r="G14" s="14">
        <v>4.26</v>
      </c>
      <c r="H14" s="14">
        <v>1.1599999999999999</v>
      </c>
      <c r="I14" s="13">
        <v>597799.53500000003</v>
      </c>
      <c r="J14" s="15">
        <v>1</v>
      </c>
      <c r="K14" s="13">
        <v>25829170.775000002</v>
      </c>
      <c r="L14" s="13">
        <v>14033290.310000002</v>
      </c>
      <c r="M14" s="13">
        <v>10934870.310000002</v>
      </c>
      <c r="N14" s="179">
        <v>43922</v>
      </c>
      <c r="O14" s="16">
        <v>45748</v>
      </c>
      <c r="P14" s="13">
        <v>184924.21</v>
      </c>
      <c r="Q14" s="222" t="e">
        <v>#VALUE!</v>
      </c>
    </row>
    <row r="15" spans="1:17" x14ac:dyDescent="0.2">
      <c r="A15" s="4" t="s">
        <v>35</v>
      </c>
      <c r="B15" s="13">
        <v>813673223</v>
      </c>
      <c r="C15" s="13">
        <v>731191156.86000001</v>
      </c>
      <c r="D15" s="13">
        <v>82482066.139999986</v>
      </c>
      <c r="E15" s="13">
        <v>13100580.74</v>
      </c>
      <c r="F15" s="13">
        <v>19453948</v>
      </c>
      <c r="G15" s="14">
        <v>4.24</v>
      </c>
      <c r="H15" s="14">
        <v>0.67</v>
      </c>
      <c r="I15" s="13">
        <v>1091715.0616666668</v>
      </c>
      <c r="J15" s="15">
        <v>4</v>
      </c>
      <c r="K15" s="13">
        <v>78115205.893333316</v>
      </c>
      <c r="L15" s="13">
        <v>10893542.534999996</v>
      </c>
      <c r="M15" s="13">
        <v>8461799.0349999964</v>
      </c>
      <c r="N15" s="179">
        <v>43647</v>
      </c>
      <c r="O15" s="16">
        <v>45839</v>
      </c>
      <c r="P15" s="13">
        <v>1239744.1200000001</v>
      </c>
      <c r="Q15" s="222" t="e">
        <v>#VALUE!</v>
      </c>
    </row>
    <row r="16" spans="1:17" x14ac:dyDescent="0.2">
      <c r="A16" s="4" t="s">
        <v>47</v>
      </c>
      <c r="B16" s="13">
        <v>107063879</v>
      </c>
      <c r="C16" s="13">
        <v>96109526.719999999</v>
      </c>
      <c r="D16" s="13">
        <v>10954352.280000001</v>
      </c>
      <c r="E16" s="13">
        <v>1273883.92</v>
      </c>
      <c r="F16" s="13">
        <v>2669761</v>
      </c>
      <c r="G16" s="14">
        <v>4.0999999999999996</v>
      </c>
      <c r="H16" s="14">
        <v>0.48</v>
      </c>
      <c r="I16" s="13">
        <v>106156.99333333333</v>
      </c>
      <c r="J16" s="15">
        <v>4</v>
      </c>
      <c r="K16" s="13">
        <v>10529724.306666669</v>
      </c>
      <c r="L16" s="13">
        <v>1403707.5700000003</v>
      </c>
      <c r="M16" s="13">
        <v>1069987.4450000003</v>
      </c>
      <c r="N16" s="179">
        <v>43647</v>
      </c>
      <c r="O16" s="16">
        <v>45839</v>
      </c>
      <c r="P16" s="13">
        <v>421516.37</v>
      </c>
      <c r="Q16" s="222" t="e">
        <v>#VALUE!</v>
      </c>
    </row>
    <row r="17" spans="1:17" x14ac:dyDescent="0.2">
      <c r="A17" s="4" t="s">
        <v>44</v>
      </c>
      <c r="B17" s="13">
        <v>307409614.24000001</v>
      </c>
      <c r="C17" s="13">
        <v>280249616.88</v>
      </c>
      <c r="D17" s="13">
        <v>27159997.360000014</v>
      </c>
      <c r="E17" s="13">
        <v>7331749.7599999998</v>
      </c>
      <c r="F17" s="13">
        <v>6878551</v>
      </c>
      <c r="G17" s="14">
        <v>3.95</v>
      </c>
      <c r="H17" s="14">
        <v>1.07</v>
      </c>
      <c r="I17" s="13">
        <v>610979.14666666661</v>
      </c>
      <c r="J17" s="15">
        <v>4</v>
      </c>
      <c r="K17" s="13">
        <v>24716080.773333348</v>
      </c>
      <c r="L17" s="13">
        <v>3350723.8400000036</v>
      </c>
      <c r="M17" s="13">
        <v>2490904.9650000036</v>
      </c>
      <c r="N17" s="179">
        <v>43647</v>
      </c>
      <c r="O17" s="16">
        <v>45839</v>
      </c>
      <c r="P17" s="13">
        <v>50075.94</v>
      </c>
      <c r="Q17" s="222" t="e">
        <v>#VALUE!</v>
      </c>
    </row>
    <row r="18" spans="1:17" x14ac:dyDescent="0.2">
      <c r="A18" s="4" t="s">
        <v>34</v>
      </c>
      <c r="B18" s="13">
        <v>1468177330.9100001</v>
      </c>
      <c r="C18" s="13">
        <v>1352019142.3900001</v>
      </c>
      <c r="D18" s="13">
        <v>116158188.51999998</v>
      </c>
      <c r="E18" s="13">
        <v>36084559.100000001</v>
      </c>
      <c r="F18" s="13">
        <v>29748591</v>
      </c>
      <c r="G18" s="14">
        <v>3.9</v>
      </c>
      <c r="H18" s="14">
        <v>1.21</v>
      </c>
      <c r="I18" s="13">
        <v>3007046.5916666668</v>
      </c>
      <c r="J18" s="15">
        <v>4</v>
      </c>
      <c r="K18" s="13">
        <v>104130002.15333331</v>
      </c>
      <c r="L18" s="13">
        <v>14165251.629999995</v>
      </c>
      <c r="M18" s="13">
        <v>10446677.754999995</v>
      </c>
      <c r="N18" s="179">
        <v>43647</v>
      </c>
      <c r="O18" s="16">
        <v>45839</v>
      </c>
      <c r="P18" s="13">
        <v>5969336.5800000001</v>
      </c>
      <c r="Q18" s="222" t="e">
        <v>#VALUE!</v>
      </c>
    </row>
    <row r="19" spans="1:17" x14ac:dyDescent="0.2">
      <c r="A19" s="4" t="s">
        <v>30</v>
      </c>
      <c r="B19" s="13">
        <v>1042589157.45</v>
      </c>
      <c r="C19" s="13">
        <v>965428978.20000005</v>
      </c>
      <c r="D19" s="13">
        <v>77160179.25</v>
      </c>
      <c r="E19" s="13">
        <v>21934475.969999999</v>
      </c>
      <c r="F19" s="13">
        <v>20158365</v>
      </c>
      <c r="G19" s="14">
        <v>3.83</v>
      </c>
      <c r="H19" s="14">
        <v>1.0900000000000001</v>
      </c>
      <c r="I19" s="13">
        <v>1827872.9974999998</v>
      </c>
      <c r="J19" s="15">
        <v>1</v>
      </c>
      <c r="K19" s="13">
        <v>75332306.252499998</v>
      </c>
      <c r="L19" s="13">
        <v>36843449.25</v>
      </c>
      <c r="M19" s="13">
        <v>26764266.75</v>
      </c>
      <c r="N19" s="179">
        <v>43922</v>
      </c>
      <c r="O19" s="16">
        <v>45748</v>
      </c>
      <c r="P19" s="13">
        <v>713277</v>
      </c>
      <c r="Q19" s="222" t="e">
        <v>#VALUE!</v>
      </c>
    </row>
    <row r="20" spans="1:17" x14ac:dyDescent="0.2">
      <c r="A20" s="4" t="s">
        <v>33</v>
      </c>
      <c r="B20" s="13">
        <v>1033187132</v>
      </c>
      <c r="C20" s="13">
        <v>951827769.28999996</v>
      </c>
      <c r="D20" s="13">
        <v>81359362.710000038</v>
      </c>
      <c r="E20" s="13">
        <v>24374675.960000001</v>
      </c>
      <c r="F20" s="13">
        <v>22862412</v>
      </c>
      <c r="G20" s="14">
        <v>3.56</v>
      </c>
      <c r="H20" s="14">
        <v>1.07</v>
      </c>
      <c r="I20" s="13">
        <v>2031222.9966666668</v>
      </c>
      <c r="J20" s="15">
        <v>1</v>
      </c>
      <c r="K20" s="13">
        <v>79328139.713333368</v>
      </c>
      <c r="L20" s="13">
        <v>35634538.710000038</v>
      </c>
      <c r="M20" s="13">
        <v>24203332.710000038</v>
      </c>
      <c r="N20" s="179">
        <v>43922</v>
      </c>
      <c r="O20" s="16">
        <v>45748</v>
      </c>
      <c r="P20" s="13">
        <v>2955638.48</v>
      </c>
      <c r="Q20" s="222" t="e">
        <v>#VALUE!</v>
      </c>
    </row>
    <row r="21" spans="1:17" x14ac:dyDescent="0.2">
      <c r="A21" s="4" t="s">
        <v>23</v>
      </c>
      <c r="B21" s="13">
        <v>1336269126.0599999</v>
      </c>
      <c r="C21" s="13">
        <v>1235064593.8599999</v>
      </c>
      <c r="D21" s="13">
        <v>101204532.20000005</v>
      </c>
      <c r="E21" s="13">
        <v>49652842.850000001</v>
      </c>
      <c r="F21" s="13">
        <v>29074134</v>
      </c>
      <c r="G21" s="14">
        <v>3.48</v>
      </c>
      <c r="H21" s="14">
        <v>1.71</v>
      </c>
      <c r="I21" s="13">
        <v>4137736.9041666668</v>
      </c>
      <c r="J21" s="15">
        <v>-2</v>
      </c>
      <c r="K21" s="13" t="s">
        <v>20</v>
      </c>
      <c r="L21" s="13" t="s">
        <v>20</v>
      </c>
      <c r="M21" s="13" t="s">
        <v>20</v>
      </c>
      <c r="N21" s="179">
        <v>43831</v>
      </c>
      <c r="O21" s="16">
        <v>45658</v>
      </c>
      <c r="P21" s="13">
        <v>5292936.53</v>
      </c>
      <c r="Q21" s="222" t="e">
        <v>#VALUE!</v>
      </c>
    </row>
    <row r="22" spans="1:17" x14ac:dyDescent="0.2">
      <c r="A22" s="4" t="s">
        <v>51</v>
      </c>
      <c r="B22" s="13">
        <v>1083940953</v>
      </c>
      <c r="C22" s="13">
        <v>1001895984.89</v>
      </c>
      <c r="D22" s="13">
        <v>82044968.110000014</v>
      </c>
      <c r="E22" s="13">
        <v>21127968.390000001</v>
      </c>
      <c r="F22" s="13">
        <v>24208645</v>
      </c>
      <c r="G22" s="14">
        <v>3.39</v>
      </c>
      <c r="H22" s="14">
        <v>0.87</v>
      </c>
      <c r="I22" s="13">
        <v>1760664.0325</v>
      </c>
      <c r="J22" s="15">
        <v>-2</v>
      </c>
      <c r="K22" s="13" t="s">
        <v>20</v>
      </c>
      <c r="L22" s="13" t="s">
        <v>20</v>
      </c>
      <c r="M22" s="13" t="s">
        <v>20</v>
      </c>
      <c r="N22" s="179">
        <v>43831</v>
      </c>
      <c r="O22" s="16">
        <v>45658</v>
      </c>
      <c r="P22" s="13">
        <v>1472218.5</v>
      </c>
      <c r="Q22" s="222" t="e">
        <v>#VALUE!</v>
      </c>
    </row>
    <row r="23" spans="1:17" x14ac:dyDescent="0.2">
      <c r="A23" s="4" t="s">
        <v>41</v>
      </c>
      <c r="B23" s="13">
        <v>1276422533.53</v>
      </c>
      <c r="C23" s="13">
        <v>1115835226.5999999</v>
      </c>
      <c r="D23" s="13">
        <v>160587306.93000007</v>
      </c>
      <c r="E23" s="13">
        <v>38555909.200000003</v>
      </c>
      <c r="F23" s="13">
        <v>47644860</v>
      </c>
      <c r="G23" s="14">
        <v>3.37</v>
      </c>
      <c r="H23" s="14">
        <v>0.81</v>
      </c>
      <c r="I23" s="13">
        <v>3212992.4333333336</v>
      </c>
      <c r="J23" s="15">
        <v>-2</v>
      </c>
      <c r="K23" s="13" t="s">
        <v>20</v>
      </c>
      <c r="L23" s="13" t="s">
        <v>20</v>
      </c>
      <c r="M23" s="13" t="s">
        <v>20</v>
      </c>
      <c r="N23" s="179">
        <v>43831</v>
      </c>
      <c r="O23" s="16">
        <v>45658</v>
      </c>
      <c r="P23" s="13">
        <v>4554462.55</v>
      </c>
      <c r="Q23" s="222" t="e">
        <v>#VALUE!</v>
      </c>
    </row>
    <row r="24" spans="1:17" x14ac:dyDescent="0.2">
      <c r="A24" s="4" t="s">
        <v>45</v>
      </c>
      <c r="B24" s="13">
        <v>2041893568.29</v>
      </c>
      <c r="C24" s="13">
        <v>1904597855.5599999</v>
      </c>
      <c r="D24" s="13">
        <v>137295712.73000002</v>
      </c>
      <c r="E24" s="13">
        <v>38008459.619999997</v>
      </c>
      <c r="F24" s="13">
        <v>40828727</v>
      </c>
      <c r="G24" s="14">
        <v>3.36</v>
      </c>
      <c r="H24" s="14">
        <v>0.93</v>
      </c>
      <c r="I24" s="13">
        <v>3167371.6349999998</v>
      </c>
      <c r="J24" s="15">
        <v>-2</v>
      </c>
      <c r="K24" s="13" t="s">
        <v>20</v>
      </c>
      <c r="L24" s="13" t="s">
        <v>20</v>
      </c>
      <c r="M24" s="13" t="s">
        <v>20</v>
      </c>
      <c r="N24" s="179">
        <v>43831</v>
      </c>
      <c r="O24" s="16">
        <v>45658</v>
      </c>
      <c r="P24" s="13">
        <v>7324763.6900000004</v>
      </c>
      <c r="Q24" s="222" t="e">
        <v>#VALUE!</v>
      </c>
    </row>
    <row r="25" spans="1:17" x14ac:dyDescent="0.2">
      <c r="A25" s="4" t="s">
        <v>55</v>
      </c>
      <c r="B25" s="13">
        <v>689945660</v>
      </c>
      <c r="C25" s="13">
        <v>640171330.62</v>
      </c>
      <c r="D25" s="13">
        <v>49774329.379999995</v>
      </c>
      <c r="E25" s="13">
        <v>9671633.9499999993</v>
      </c>
      <c r="F25" s="13">
        <v>14901309</v>
      </c>
      <c r="G25" s="14">
        <v>3.34</v>
      </c>
      <c r="H25" s="14">
        <v>0.65</v>
      </c>
      <c r="I25" s="13">
        <v>805969.49583333323</v>
      </c>
      <c r="J25" s="15">
        <v>-2</v>
      </c>
      <c r="K25" s="13" t="s">
        <v>20</v>
      </c>
      <c r="L25" s="13" t="s">
        <v>20</v>
      </c>
      <c r="M25" s="13" t="s">
        <v>20</v>
      </c>
      <c r="N25" s="179">
        <v>43466</v>
      </c>
      <c r="O25" s="16">
        <v>45658</v>
      </c>
      <c r="P25" s="13">
        <v>700109.16</v>
      </c>
      <c r="Q25" s="222" t="e">
        <v>#VALUE!</v>
      </c>
    </row>
    <row r="26" spans="1:17" x14ac:dyDescent="0.2">
      <c r="A26" s="4" t="s">
        <v>38</v>
      </c>
      <c r="B26" s="13">
        <v>542289730.02999997</v>
      </c>
      <c r="C26" s="13">
        <v>495853841.98000002</v>
      </c>
      <c r="D26" s="13">
        <v>46435888.049999952</v>
      </c>
      <c r="E26" s="13">
        <v>10835481.92</v>
      </c>
      <c r="F26" s="13">
        <v>13960891</v>
      </c>
      <c r="G26" s="14">
        <v>3.33</v>
      </c>
      <c r="H26" s="14">
        <v>0.78</v>
      </c>
      <c r="I26" s="13">
        <v>902956.82666666666</v>
      </c>
      <c r="J26" s="15">
        <v>4</v>
      </c>
      <c r="K26" s="13">
        <v>42824060.743333288</v>
      </c>
      <c r="L26" s="13">
        <v>4628526.5124999881</v>
      </c>
      <c r="M26" s="13">
        <v>2883415.1374999881</v>
      </c>
      <c r="N26" s="179">
        <v>43647</v>
      </c>
      <c r="O26" s="16">
        <v>45839</v>
      </c>
      <c r="P26" s="13">
        <v>0</v>
      </c>
      <c r="Q26" s="222" t="e">
        <v>#VALUE!</v>
      </c>
    </row>
    <row r="27" spans="1:17" x14ac:dyDescent="0.2">
      <c r="A27" s="4" t="s">
        <v>50</v>
      </c>
      <c r="B27" s="13">
        <v>1683242657.0699999</v>
      </c>
      <c r="C27" s="13">
        <v>1549544756.9200001</v>
      </c>
      <c r="D27" s="13">
        <v>133697900.14999986</v>
      </c>
      <c r="E27" s="13">
        <v>38131539.109999999</v>
      </c>
      <c r="F27" s="13">
        <v>40945091</v>
      </c>
      <c r="G27" s="14">
        <v>3.27</v>
      </c>
      <c r="H27" s="14">
        <v>0.93</v>
      </c>
      <c r="I27" s="13">
        <v>3177628.2591666668</v>
      </c>
      <c r="J27" s="15">
        <v>4</v>
      </c>
      <c r="K27" s="13">
        <v>120987387.1133332</v>
      </c>
      <c r="L27" s="13">
        <v>12951929.537499964</v>
      </c>
      <c r="M27" s="13">
        <v>7833793.1624999642</v>
      </c>
      <c r="N27" s="179">
        <v>43647</v>
      </c>
      <c r="O27" s="16">
        <v>45839</v>
      </c>
      <c r="P27" s="13">
        <v>965091.66</v>
      </c>
      <c r="Q27" s="222" t="e">
        <v>#VALUE!</v>
      </c>
    </row>
    <row r="28" spans="1:17" x14ac:dyDescent="0.2">
      <c r="A28" s="4" t="s">
        <v>56</v>
      </c>
      <c r="B28" s="13">
        <v>1182377479</v>
      </c>
      <c r="C28" s="13">
        <v>1095538210.46</v>
      </c>
      <c r="D28" s="13">
        <v>86839268.539999962</v>
      </c>
      <c r="E28" s="13">
        <v>21059549.66</v>
      </c>
      <c r="F28" s="13">
        <v>27472066</v>
      </c>
      <c r="G28" s="14">
        <v>3.16</v>
      </c>
      <c r="H28" s="14">
        <v>0.77</v>
      </c>
      <c r="I28" s="13">
        <v>1754962.4716666667</v>
      </c>
      <c r="J28" s="15">
        <v>4</v>
      </c>
      <c r="K28" s="13">
        <v>79819418.653333291</v>
      </c>
      <c r="L28" s="13">
        <v>7973784.1349999905</v>
      </c>
      <c r="M28" s="13">
        <v>4539775.8849999905</v>
      </c>
      <c r="N28" s="179">
        <v>43647</v>
      </c>
      <c r="O28" s="16">
        <v>45839</v>
      </c>
      <c r="P28" s="13">
        <v>1239345.54</v>
      </c>
      <c r="Q28" s="222" t="e">
        <v>#VALUE!</v>
      </c>
    </row>
    <row r="29" spans="1:17" x14ac:dyDescent="0.2">
      <c r="A29" s="4" t="s">
        <v>40</v>
      </c>
      <c r="B29" s="13">
        <v>203184641.25</v>
      </c>
      <c r="C29" s="13">
        <v>186600750.56</v>
      </c>
      <c r="D29" s="13">
        <v>16583890.689999998</v>
      </c>
      <c r="E29" s="13">
        <v>10711160.199999999</v>
      </c>
      <c r="F29" s="13">
        <v>5655134</v>
      </c>
      <c r="G29" s="14">
        <v>2.93</v>
      </c>
      <c r="H29" s="14">
        <v>1.89</v>
      </c>
      <c r="I29" s="13">
        <v>892596.68333333323</v>
      </c>
      <c r="J29" s="15">
        <v>4</v>
      </c>
      <c r="K29" s="13">
        <v>13013503.956666665</v>
      </c>
      <c r="L29" s="13">
        <v>1318405.6724999994</v>
      </c>
      <c r="M29" s="13" t="s">
        <v>42</v>
      </c>
      <c r="N29" s="179">
        <v>43647</v>
      </c>
      <c r="O29" s="16">
        <v>45839</v>
      </c>
      <c r="P29" s="13">
        <v>0</v>
      </c>
      <c r="Q29" s="222" t="e">
        <v>#VALUE!</v>
      </c>
    </row>
    <row r="30" spans="1:17" x14ac:dyDescent="0.2">
      <c r="A30" s="4" t="s">
        <v>64</v>
      </c>
      <c r="B30" s="13">
        <v>355494147</v>
      </c>
      <c r="C30" s="13">
        <v>327989557.51999998</v>
      </c>
      <c r="D30" s="13">
        <v>27504589.480000019</v>
      </c>
      <c r="E30" s="13">
        <v>7399398.4100000001</v>
      </c>
      <c r="F30" s="13">
        <v>9435207</v>
      </c>
      <c r="G30" s="14">
        <v>2.92</v>
      </c>
      <c r="H30" s="14">
        <v>0.78</v>
      </c>
      <c r="I30" s="13">
        <v>616616.53416666668</v>
      </c>
      <c r="J30" s="15">
        <v>-2</v>
      </c>
      <c r="K30" s="13" t="s">
        <v>20</v>
      </c>
      <c r="L30" s="13" t="s">
        <v>20</v>
      </c>
      <c r="M30" s="13" t="s">
        <v>20</v>
      </c>
      <c r="N30" s="179">
        <v>43831</v>
      </c>
      <c r="O30" s="16">
        <v>45658</v>
      </c>
      <c r="P30" s="13">
        <v>1203852.4099999999</v>
      </c>
      <c r="Q30" s="222" t="e">
        <v>#VALUE!</v>
      </c>
    </row>
    <row r="31" spans="1:17" x14ac:dyDescent="0.2">
      <c r="A31" s="4" t="s">
        <v>52</v>
      </c>
      <c r="B31" s="13">
        <v>535148479</v>
      </c>
      <c r="C31" s="13">
        <v>496928157.35000002</v>
      </c>
      <c r="D31" s="13">
        <v>38220321.649999976</v>
      </c>
      <c r="E31" s="13">
        <v>10677673.6</v>
      </c>
      <c r="F31" s="13">
        <v>13099382</v>
      </c>
      <c r="G31" s="14">
        <v>2.92</v>
      </c>
      <c r="H31" s="14">
        <v>0.82</v>
      </c>
      <c r="I31" s="13">
        <v>889806.1333333333</v>
      </c>
      <c r="J31" s="15">
        <v>4</v>
      </c>
      <c r="K31" s="13">
        <v>34661097.116666645</v>
      </c>
      <c r="L31" s="13">
        <v>3005389.412499994</v>
      </c>
      <c r="M31" s="13">
        <v>1367966.662499994</v>
      </c>
      <c r="N31" s="179">
        <v>43647</v>
      </c>
      <c r="O31" s="16">
        <v>45839</v>
      </c>
      <c r="P31" s="13">
        <v>444347.4</v>
      </c>
      <c r="Q31" s="222" t="e">
        <v>#VALUE!</v>
      </c>
    </row>
    <row r="32" spans="1:17" x14ac:dyDescent="0.2">
      <c r="A32" s="4" t="s">
        <v>63</v>
      </c>
      <c r="B32" s="13">
        <v>1340428223.5599999</v>
      </c>
      <c r="C32" s="13">
        <v>1254164655.8800001</v>
      </c>
      <c r="D32" s="13">
        <v>86263567.679999828</v>
      </c>
      <c r="E32" s="13">
        <v>24484679.129999999</v>
      </c>
      <c r="F32" s="13">
        <v>30689455</v>
      </c>
      <c r="G32" s="14">
        <v>2.81</v>
      </c>
      <c r="H32" s="14">
        <v>0.8</v>
      </c>
      <c r="I32" s="13">
        <v>2040389.9275</v>
      </c>
      <c r="J32" s="15">
        <v>4</v>
      </c>
      <c r="K32" s="13">
        <v>78102007.969999835</v>
      </c>
      <c r="L32" s="13">
        <v>6221164.4199999571</v>
      </c>
      <c r="M32" s="13">
        <v>2384982.5449999571</v>
      </c>
      <c r="N32" s="179">
        <v>43647</v>
      </c>
      <c r="O32" s="16">
        <v>45839</v>
      </c>
      <c r="P32" s="13">
        <v>2011893.02</v>
      </c>
      <c r="Q32" s="222" t="e">
        <v>#VALUE!</v>
      </c>
    </row>
    <row r="33" spans="1:17" x14ac:dyDescent="0.2">
      <c r="A33" s="4" t="s">
        <v>53</v>
      </c>
      <c r="B33" s="13">
        <v>2950491414.54</v>
      </c>
      <c r="C33" s="13">
        <v>2750788022.6799998</v>
      </c>
      <c r="D33" s="13">
        <v>199703391.86000013</v>
      </c>
      <c r="E33" s="13">
        <v>71710351.549999997</v>
      </c>
      <c r="F33" s="13">
        <v>71178309</v>
      </c>
      <c r="G33" s="14">
        <v>2.81</v>
      </c>
      <c r="H33" s="14">
        <v>1.01</v>
      </c>
      <c r="I33" s="13">
        <v>5975862.6291666664</v>
      </c>
      <c r="J33" s="15">
        <v>6</v>
      </c>
      <c r="K33" s="13">
        <v>163848216.08500013</v>
      </c>
      <c r="L33" s="13">
        <v>9557795.643333355</v>
      </c>
      <c r="M33" s="13" t="s">
        <v>42</v>
      </c>
      <c r="N33" s="179">
        <v>44075</v>
      </c>
      <c r="O33" s="16">
        <v>45901</v>
      </c>
      <c r="P33" s="13">
        <v>4133858.79</v>
      </c>
      <c r="Q33" s="222" t="e">
        <v>#VALUE!</v>
      </c>
    </row>
    <row r="34" spans="1:17" x14ac:dyDescent="0.2">
      <c r="A34" s="4" t="s">
        <v>36</v>
      </c>
      <c r="B34" s="13">
        <v>392596167.93000001</v>
      </c>
      <c r="C34" s="13">
        <v>366560432.92000002</v>
      </c>
      <c r="D34" s="13">
        <v>26035735.00999999</v>
      </c>
      <c r="E34" s="13">
        <v>10799952.93</v>
      </c>
      <c r="F34" s="13">
        <v>9305817</v>
      </c>
      <c r="G34" s="14">
        <v>2.8</v>
      </c>
      <c r="H34" s="14">
        <v>1.1599999999999999</v>
      </c>
      <c r="I34" s="13">
        <v>899996.07750000001</v>
      </c>
      <c r="J34" s="15">
        <v>1</v>
      </c>
      <c r="K34" s="13">
        <v>25135738.93249999</v>
      </c>
      <c r="L34" s="13">
        <v>7424101.0099999905</v>
      </c>
      <c r="M34" s="13">
        <v>2771192.5099999905</v>
      </c>
      <c r="N34" s="179">
        <v>43556</v>
      </c>
      <c r="O34" s="16">
        <v>45748</v>
      </c>
      <c r="P34" s="13">
        <v>-362585.16</v>
      </c>
      <c r="Q34" s="222" t="e">
        <v>#VALUE!</v>
      </c>
    </row>
    <row r="35" spans="1:17" x14ac:dyDescent="0.2">
      <c r="A35" s="4" t="s">
        <v>61</v>
      </c>
      <c r="B35" s="13">
        <v>1108314599.5</v>
      </c>
      <c r="C35" s="13">
        <v>1045552119.35</v>
      </c>
      <c r="D35" s="13">
        <v>62762480.149999976</v>
      </c>
      <c r="E35" s="13">
        <v>21787445.899999999</v>
      </c>
      <c r="F35" s="13">
        <v>23039495</v>
      </c>
      <c r="G35" s="14">
        <v>2.72</v>
      </c>
      <c r="H35" s="14">
        <v>0.95</v>
      </c>
      <c r="I35" s="13">
        <v>1815620.4916666665</v>
      </c>
      <c r="J35" s="15">
        <v>1</v>
      </c>
      <c r="K35" s="13">
        <v>60946859.658333309</v>
      </c>
      <c r="L35" s="13">
        <v>16683490.149999976</v>
      </c>
      <c r="M35" s="13">
        <v>5163742.6499999762</v>
      </c>
      <c r="N35" s="179">
        <v>43556</v>
      </c>
      <c r="O35" s="16">
        <v>45748</v>
      </c>
      <c r="P35" s="13">
        <v>1257732.8999999999</v>
      </c>
      <c r="Q35" s="222" t="e">
        <v>#VALUE!</v>
      </c>
    </row>
    <row r="36" spans="1:17" x14ac:dyDescent="0.2">
      <c r="A36" s="4" t="s">
        <v>58</v>
      </c>
      <c r="B36" s="13">
        <v>1227877221</v>
      </c>
      <c r="C36" s="13">
        <v>1168602681.4300001</v>
      </c>
      <c r="D36" s="13">
        <v>59274539.569999933</v>
      </c>
      <c r="E36" s="13">
        <v>21761423.52</v>
      </c>
      <c r="F36" s="13">
        <v>22761731</v>
      </c>
      <c r="G36" s="14">
        <v>2.6</v>
      </c>
      <c r="H36" s="14">
        <v>0.96</v>
      </c>
      <c r="I36" s="13">
        <v>1813451.96</v>
      </c>
      <c r="J36" s="15">
        <v>1</v>
      </c>
      <c r="K36" s="13">
        <v>57461087.609999932</v>
      </c>
      <c r="L36" s="13">
        <v>13751077.569999933</v>
      </c>
      <c r="M36" s="13">
        <v>2370212.0699999332</v>
      </c>
      <c r="N36" s="179">
        <v>43922</v>
      </c>
      <c r="O36" s="16">
        <v>45748</v>
      </c>
      <c r="P36" s="13">
        <v>3536217.11</v>
      </c>
      <c r="Q36" s="222" t="e">
        <v>#VALUE!</v>
      </c>
    </row>
    <row r="37" spans="1:17" x14ac:dyDescent="0.2">
      <c r="A37" s="4" t="s">
        <v>60</v>
      </c>
      <c r="B37" s="13">
        <v>351543186.45999998</v>
      </c>
      <c r="C37" s="13">
        <v>329184289.82999998</v>
      </c>
      <c r="D37" s="13">
        <v>22358896.629999995</v>
      </c>
      <c r="E37" s="13">
        <v>7231609.3600000003</v>
      </c>
      <c r="F37" s="13">
        <v>8658249</v>
      </c>
      <c r="G37" s="14">
        <v>2.58</v>
      </c>
      <c r="H37" s="14">
        <v>0.84</v>
      </c>
      <c r="I37" s="13">
        <v>602634.1133333334</v>
      </c>
      <c r="J37" s="15">
        <v>1</v>
      </c>
      <c r="K37" s="13">
        <v>21756262.516666662</v>
      </c>
      <c r="L37" s="13">
        <v>5042398.6299999952</v>
      </c>
      <c r="M37" s="13">
        <v>713274.12999999523</v>
      </c>
      <c r="N37" s="179">
        <v>43556</v>
      </c>
      <c r="O37" s="16">
        <v>45748</v>
      </c>
      <c r="P37" s="13">
        <v>1587066.02</v>
      </c>
      <c r="Q37" s="222" t="e">
        <v>#VALUE!</v>
      </c>
    </row>
    <row r="38" spans="1:17" x14ac:dyDescent="0.2">
      <c r="A38" s="4" t="s">
        <v>59</v>
      </c>
      <c r="B38" s="13">
        <v>285086766</v>
      </c>
      <c r="C38" s="13">
        <v>266271616</v>
      </c>
      <c r="D38" s="13">
        <v>18815150</v>
      </c>
      <c r="E38" s="13">
        <v>8526076.4100000001</v>
      </c>
      <c r="F38" s="13">
        <v>7485780</v>
      </c>
      <c r="G38" s="14">
        <v>2.5099999999999998</v>
      </c>
      <c r="H38" s="14">
        <v>1.1399999999999999</v>
      </c>
      <c r="I38" s="13">
        <v>710506.36750000005</v>
      </c>
      <c r="J38" s="15">
        <v>4</v>
      </c>
      <c r="K38" s="13">
        <v>15973124.529999999</v>
      </c>
      <c r="L38" s="13">
        <v>960897.5</v>
      </c>
      <c r="M38" s="13" t="s">
        <v>42</v>
      </c>
      <c r="N38" s="179">
        <v>43647</v>
      </c>
      <c r="O38" s="16">
        <v>45839</v>
      </c>
      <c r="P38" s="13">
        <v>580402</v>
      </c>
      <c r="Q38" s="222" t="e">
        <v>#VALUE!</v>
      </c>
    </row>
    <row r="39" spans="1:17" x14ac:dyDescent="0.2">
      <c r="A39" s="4" t="s">
        <v>49</v>
      </c>
      <c r="B39" s="13">
        <v>1239388142.8299999</v>
      </c>
      <c r="C39" s="13">
        <v>1181391958.05</v>
      </c>
      <c r="D39" s="13">
        <v>57996184.779999971</v>
      </c>
      <c r="E39" s="13">
        <v>18939344.170000002</v>
      </c>
      <c r="F39" s="13">
        <v>24088947</v>
      </c>
      <c r="G39" s="14">
        <v>2.41</v>
      </c>
      <c r="H39" s="14">
        <v>0.79</v>
      </c>
      <c r="I39" s="13">
        <v>1578278.6808333334</v>
      </c>
      <c r="J39" s="15">
        <v>4</v>
      </c>
      <c r="K39" s="13">
        <v>51683070.056666635</v>
      </c>
      <c r="L39" s="13">
        <v>2454572.6949999928</v>
      </c>
      <c r="M39" s="13" t="s">
        <v>42</v>
      </c>
      <c r="N39" s="179">
        <v>43647</v>
      </c>
      <c r="O39" s="16">
        <v>45839</v>
      </c>
      <c r="P39" s="13">
        <v>1112848.27</v>
      </c>
      <c r="Q39" s="222" t="e">
        <v>#VALUE!</v>
      </c>
    </row>
    <row r="40" spans="1:17" x14ac:dyDescent="0.2">
      <c r="A40" s="4" t="s">
        <v>29</v>
      </c>
      <c r="B40" s="13">
        <v>799406417.05999994</v>
      </c>
      <c r="C40" s="13">
        <v>757534781.87</v>
      </c>
      <c r="D40" s="13">
        <v>41871635.189999938</v>
      </c>
      <c r="E40" s="13">
        <v>28264060.120000001</v>
      </c>
      <c r="F40" s="13">
        <v>17480755</v>
      </c>
      <c r="G40" s="14">
        <v>2.4</v>
      </c>
      <c r="H40" s="14">
        <v>1.62</v>
      </c>
      <c r="I40" s="13">
        <v>2355338.3433333333</v>
      </c>
      <c r="J40" s="15">
        <v>4</v>
      </c>
      <c r="K40" s="13">
        <v>32450281.816666603</v>
      </c>
      <c r="L40" s="13" t="s">
        <v>42</v>
      </c>
      <c r="M40" s="13" t="s">
        <v>42</v>
      </c>
      <c r="N40" s="179">
        <v>43647</v>
      </c>
      <c r="O40" s="16">
        <v>45839</v>
      </c>
      <c r="P40" s="13">
        <v>536110.06999999995</v>
      </c>
      <c r="Q40" s="222" t="e">
        <v>#VALUE!</v>
      </c>
    </row>
    <row r="41" spans="1:17" x14ac:dyDescent="0.2">
      <c r="A41" s="4" t="s">
        <v>54</v>
      </c>
      <c r="B41" s="13">
        <v>1428807757.99</v>
      </c>
      <c r="C41" s="13">
        <v>1346372752.4000001</v>
      </c>
      <c r="D41" s="13">
        <v>82435005.589999914</v>
      </c>
      <c r="E41" s="13">
        <v>46794481</v>
      </c>
      <c r="F41" s="13">
        <v>34424780</v>
      </c>
      <c r="G41" s="14">
        <v>2.39</v>
      </c>
      <c r="H41" s="14">
        <v>1.36</v>
      </c>
      <c r="I41" s="13">
        <v>3899540.0833333335</v>
      </c>
      <c r="J41" s="15">
        <v>1</v>
      </c>
      <c r="K41" s="13">
        <v>78535465.506666586</v>
      </c>
      <c r="L41" s="13">
        <v>13585445.589999914</v>
      </c>
      <c r="M41" s="13" t="s">
        <v>42</v>
      </c>
      <c r="N41" s="179">
        <v>43922</v>
      </c>
      <c r="O41" s="16">
        <v>45748</v>
      </c>
      <c r="P41" s="13">
        <v>2941854.85</v>
      </c>
      <c r="Q41" s="222" t="e">
        <v>#VALUE!</v>
      </c>
    </row>
    <row r="42" spans="1:17" x14ac:dyDescent="0.2">
      <c r="A42" s="4" t="s">
        <v>62</v>
      </c>
      <c r="B42" s="13">
        <v>699328036.19000006</v>
      </c>
      <c r="C42" s="13">
        <v>666600110.64999998</v>
      </c>
      <c r="D42" s="13">
        <v>32727925.540000081</v>
      </c>
      <c r="E42" s="13">
        <v>13454816.92</v>
      </c>
      <c r="F42" s="13">
        <v>14024709</v>
      </c>
      <c r="G42" s="14">
        <v>2.33</v>
      </c>
      <c r="H42" s="14">
        <v>0.96</v>
      </c>
      <c r="I42" s="13">
        <v>1121234.7433333334</v>
      </c>
      <c r="J42" s="15">
        <v>1</v>
      </c>
      <c r="K42" s="13">
        <v>31606690.796666749</v>
      </c>
      <c r="L42" s="13">
        <v>4678507.5400000811</v>
      </c>
      <c r="M42" s="13" t="s">
        <v>42</v>
      </c>
      <c r="N42" s="179">
        <v>43922</v>
      </c>
      <c r="O42" s="16">
        <v>45748</v>
      </c>
      <c r="P42" s="13">
        <v>1484577.85</v>
      </c>
      <c r="Q42" s="222" t="e">
        <v>#VALUE!</v>
      </c>
    </row>
    <row r="43" spans="1:17" x14ac:dyDescent="0.2">
      <c r="A43" s="4" t="s">
        <v>66</v>
      </c>
      <c r="B43" s="13">
        <v>1985336227.8699999</v>
      </c>
      <c r="C43" s="13">
        <v>1883210747.21</v>
      </c>
      <c r="D43" s="13">
        <v>102125480.65999985</v>
      </c>
      <c r="E43" s="13">
        <v>43177220.659999996</v>
      </c>
      <c r="F43" s="13">
        <v>45588088</v>
      </c>
      <c r="G43" s="14">
        <v>2.2400000000000002</v>
      </c>
      <c r="H43" s="14">
        <v>0.95</v>
      </c>
      <c r="I43" s="13">
        <v>3598101.7216666662</v>
      </c>
      <c r="J43" s="15">
        <v>4</v>
      </c>
      <c r="K43" s="13">
        <v>87733073.773333177</v>
      </c>
      <c r="L43" s="13" t="s">
        <v>42</v>
      </c>
      <c r="M43" s="13" t="s">
        <v>42</v>
      </c>
      <c r="N43" s="179">
        <v>43647</v>
      </c>
      <c r="O43" s="16">
        <v>45839</v>
      </c>
      <c r="P43" s="13">
        <v>3597137.02</v>
      </c>
      <c r="Q43" s="222" t="e">
        <v>#VALUE!</v>
      </c>
    </row>
    <row r="44" spans="1:17" x14ac:dyDescent="0.2">
      <c r="A44" s="4" t="s">
        <v>57</v>
      </c>
      <c r="B44" s="13">
        <v>101611843</v>
      </c>
      <c r="C44" s="13">
        <v>95151715.510000005</v>
      </c>
      <c r="D44" s="13">
        <v>6460127.4899999946</v>
      </c>
      <c r="E44" s="13">
        <v>3539193.81</v>
      </c>
      <c r="F44" s="13">
        <v>2910779</v>
      </c>
      <c r="G44" s="14">
        <v>2.2200000000000002</v>
      </c>
      <c r="H44" s="14">
        <v>1.22</v>
      </c>
      <c r="I44" s="13">
        <v>294932.8175</v>
      </c>
      <c r="J44" s="15">
        <v>4</v>
      </c>
      <c r="K44" s="13">
        <v>5280396.2199999951</v>
      </c>
      <c r="L44" s="13" t="s">
        <v>42</v>
      </c>
      <c r="M44" s="13" t="s">
        <v>42</v>
      </c>
      <c r="N44" s="179">
        <v>43647</v>
      </c>
      <c r="O44" s="16">
        <v>45839</v>
      </c>
      <c r="P44" s="13">
        <v>892151.21</v>
      </c>
      <c r="Q44" s="222" t="e">
        <v>#VALUE!</v>
      </c>
    </row>
    <row r="45" spans="1:17" x14ac:dyDescent="0.2">
      <c r="A45" s="4" t="s">
        <v>67</v>
      </c>
      <c r="B45" s="13">
        <v>1110426785</v>
      </c>
      <c r="C45" s="13">
        <v>1049448346.8099999</v>
      </c>
      <c r="D45" s="13">
        <v>60978438.190000057</v>
      </c>
      <c r="E45" s="13">
        <v>24608557.329999998</v>
      </c>
      <c r="F45" s="13">
        <v>27485501</v>
      </c>
      <c r="G45" s="14">
        <v>2.2200000000000002</v>
      </c>
      <c r="H45" s="14">
        <v>0.9</v>
      </c>
      <c r="I45" s="13">
        <v>2050713.1108333331</v>
      </c>
      <c r="J45" s="15">
        <v>1</v>
      </c>
      <c r="K45" s="13">
        <v>58927725.079166725</v>
      </c>
      <c r="L45" s="13">
        <v>6007436.1900000572</v>
      </c>
      <c r="M45" s="13" t="s">
        <v>42</v>
      </c>
      <c r="N45" s="179">
        <v>43922</v>
      </c>
      <c r="O45" s="16">
        <v>45748</v>
      </c>
      <c r="P45" s="13">
        <v>2683741.75</v>
      </c>
      <c r="Q45" s="222" t="e">
        <v>#VALUE!</v>
      </c>
    </row>
    <row r="46" spans="1:17" x14ac:dyDescent="0.2">
      <c r="A46" s="4" t="s">
        <v>46</v>
      </c>
      <c r="B46" s="13">
        <v>314446387.48000002</v>
      </c>
      <c r="C46" s="13">
        <v>296268110.67000002</v>
      </c>
      <c r="D46" s="13">
        <v>18178276.810000002</v>
      </c>
      <c r="E46" s="13">
        <v>10084458.689999999</v>
      </c>
      <c r="F46" s="13">
        <v>8369791</v>
      </c>
      <c r="G46" s="14">
        <v>2.17</v>
      </c>
      <c r="H46" s="14">
        <v>1.2</v>
      </c>
      <c r="I46" s="13">
        <v>840371.5575</v>
      </c>
      <c r="J46" s="15">
        <v>4</v>
      </c>
      <c r="K46" s="13">
        <v>14816790.580000002</v>
      </c>
      <c r="L46" s="13" t="s">
        <v>42</v>
      </c>
      <c r="M46" s="13" t="s">
        <v>42</v>
      </c>
      <c r="N46" s="179">
        <v>43647</v>
      </c>
      <c r="O46" s="16">
        <v>45839</v>
      </c>
      <c r="P46" s="13">
        <v>524914.28</v>
      </c>
      <c r="Q46" s="222" t="e">
        <v>#VALUE!</v>
      </c>
    </row>
    <row r="47" spans="1:17" x14ac:dyDescent="0.2">
      <c r="A47" s="4" t="s">
        <v>68</v>
      </c>
      <c r="B47" s="13">
        <v>509113932</v>
      </c>
      <c r="C47" s="13">
        <v>483431986.23000002</v>
      </c>
      <c r="D47" s="13">
        <v>25681945.769999981</v>
      </c>
      <c r="E47" s="13">
        <v>11771395.09</v>
      </c>
      <c r="F47" s="13">
        <v>11867952</v>
      </c>
      <c r="G47" s="14">
        <v>2.16</v>
      </c>
      <c r="H47" s="14">
        <v>0.99</v>
      </c>
      <c r="I47" s="13">
        <v>980949.59083333332</v>
      </c>
      <c r="J47" s="15">
        <v>-2</v>
      </c>
      <c r="K47" s="13" t="s">
        <v>20</v>
      </c>
      <c r="L47" s="13" t="s">
        <v>20</v>
      </c>
      <c r="M47" s="13" t="s">
        <v>20</v>
      </c>
      <c r="N47" s="179">
        <v>43831</v>
      </c>
      <c r="O47" s="16">
        <v>45658</v>
      </c>
      <c r="P47" s="13">
        <v>775069.43</v>
      </c>
      <c r="Q47" s="222" t="e">
        <v>#VALUE!</v>
      </c>
    </row>
    <row r="48" spans="1:17" x14ac:dyDescent="0.2">
      <c r="A48" s="4" t="s">
        <v>43</v>
      </c>
      <c r="B48" s="13">
        <v>254239457</v>
      </c>
      <c r="C48" s="13">
        <v>242113133.25</v>
      </c>
      <c r="D48" s="13">
        <v>12126323.75</v>
      </c>
      <c r="E48" s="13">
        <v>8344269.2000000002</v>
      </c>
      <c r="F48" s="13">
        <v>5680880</v>
      </c>
      <c r="G48" s="14">
        <v>2.13</v>
      </c>
      <c r="H48" s="14">
        <v>1.47</v>
      </c>
      <c r="I48" s="13">
        <v>695355.76666666672</v>
      </c>
      <c r="J48" s="15">
        <v>-2</v>
      </c>
      <c r="K48" s="13" t="s">
        <v>20</v>
      </c>
      <c r="L48" s="13" t="s">
        <v>20</v>
      </c>
      <c r="M48" s="13" t="s">
        <v>20</v>
      </c>
      <c r="N48" s="179">
        <v>43831</v>
      </c>
      <c r="O48" s="16">
        <v>45658</v>
      </c>
      <c r="P48" s="13">
        <v>0</v>
      </c>
      <c r="Q48" s="222" t="e">
        <v>#VALUE!</v>
      </c>
    </row>
    <row r="49" spans="1:17" x14ac:dyDescent="0.2">
      <c r="A49" s="4" t="s">
        <v>65</v>
      </c>
      <c r="B49" s="13">
        <v>398824318</v>
      </c>
      <c r="C49" s="13">
        <v>378614345.06</v>
      </c>
      <c r="D49" s="13">
        <v>20209972.939999998</v>
      </c>
      <c r="E49" s="13">
        <v>11363448.26</v>
      </c>
      <c r="F49" s="13">
        <v>9664284</v>
      </c>
      <c r="G49" s="14">
        <v>2.09</v>
      </c>
      <c r="H49" s="14">
        <v>1.18</v>
      </c>
      <c r="I49" s="13">
        <v>946954.02166666661</v>
      </c>
      <c r="J49" s="15">
        <v>4</v>
      </c>
      <c r="K49" s="13">
        <v>16422156.853333332</v>
      </c>
      <c r="L49" s="13" t="s">
        <v>42</v>
      </c>
      <c r="M49" s="13" t="s">
        <v>42</v>
      </c>
      <c r="N49" s="179">
        <v>43647</v>
      </c>
      <c r="O49" s="16">
        <v>45839</v>
      </c>
      <c r="P49" s="13">
        <v>953040.93</v>
      </c>
      <c r="Q49" s="222" t="e">
        <v>#VALUE!</v>
      </c>
    </row>
    <row r="50" spans="1:17" x14ac:dyDescent="0.2">
      <c r="A50" s="4" t="s">
        <v>69</v>
      </c>
      <c r="B50" s="13">
        <v>243764651</v>
      </c>
      <c r="C50" s="13">
        <v>233797007.34</v>
      </c>
      <c r="D50" s="13">
        <v>9967643.6599999964</v>
      </c>
      <c r="E50" s="13">
        <v>5819287.2300000004</v>
      </c>
      <c r="F50" s="13">
        <v>5561418</v>
      </c>
      <c r="G50" s="14">
        <v>1.79</v>
      </c>
      <c r="H50" s="14">
        <v>1.05</v>
      </c>
      <c r="I50" s="13">
        <v>484940.60250000004</v>
      </c>
      <c r="J50" s="15">
        <v>4</v>
      </c>
      <c r="K50" s="13">
        <v>8027881.2499999963</v>
      </c>
      <c r="L50" s="13" t="s">
        <v>42</v>
      </c>
      <c r="M50" s="13" t="s">
        <v>42</v>
      </c>
      <c r="N50" s="179">
        <v>43647</v>
      </c>
      <c r="O50" s="16">
        <v>45839</v>
      </c>
      <c r="P50" s="13">
        <v>111150.02</v>
      </c>
      <c r="Q50" s="222" t="e">
        <v>#VALUE!</v>
      </c>
    </row>
    <row r="51" spans="1:17" x14ac:dyDescent="0.2">
      <c r="A51" s="4" t="s">
        <v>48</v>
      </c>
      <c r="B51" s="13">
        <v>545409679.30999994</v>
      </c>
      <c r="C51" s="13">
        <v>529896087.41000003</v>
      </c>
      <c r="D51" s="13">
        <v>15513591.899999917</v>
      </c>
      <c r="E51" s="13">
        <v>17002636.100000001</v>
      </c>
      <c r="F51" s="13">
        <v>11656242</v>
      </c>
      <c r="G51" s="14">
        <v>1.33</v>
      </c>
      <c r="H51" s="14">
        <v>1.46</v>
      </c>
      <c r="I51" s="13">
        <v>1416886.3416666668</v>
      </c>
      <c r="J51" s="15">
        <v>-2</v>
      </c>
      <c r="K51" s="13" t="s">
        <v>20</v>
      </c>
      <c r="L51" s="13" t="s">
        <v>20</v>
      </c>
      <c r="M51" s="13" t="s">
        <v>20</v>
      </c>
      <c r="N51" s="179">
        <v>43831</v>
      </c>
      <c r="O51" s="16">
        <v>45658</v>
      </c>
      <c r="P51" s="13">
        <v>581049.44999999995</v>
      </c>
      <c r="Q51" s="222" t="e">
        <v>#VALUE!</v>
      </c>
    </row>
    <row r="52" spans="1:17" x14ac:dyDescent="0.2">
      <c r="A52" s="4" t="s">
        <v>70</v>
      </c>
      <c r="B52" s="13">
        <v>75470621</v>
      </c>
      <c r="C52" s="13">
        <v>74211882.439999998</v>
      </c>
      <c r="D52" s="18">
        <v>1258738.5600000024</v>
      </c>
      <c r="E52" s="13">
        <v>2709534.99</v>
      </c>
      <c r="F52" s="13">
        <v>2752623</v>
      </c>
      <c r="G52" s="14">
        <v>0.46</v>
      </c>
      <c r="H52" s="14">
        <v>0.98</v>
      </c>
      <c r="I52" s="18">
        <v>225794.58250000002</v>
      </c>
      <c r="J52" s="15">
        <v>4</v>
      </c>
      <c r="K52" s="18">
        <v>355560.23000000231</v>
      </c>
      <c r="L52" s="18" t="s">
        <v>42</v>
      </c>
      <c r="M52" s="18" t="s">
        <v>42</v>
      </c>
      <c r="N52" s="180">
        <v>43647</v>
      </c>
      <c r="O52" s="16">
        <v>45839</v>
      </c>
      <c r="P52" s="13">
        <v>598288.44999999995</v>
      </c>
      <c r="Q52" s="222" t="e">
        <v>#VALUE!</v>
      </c>
    </row>
    <row r="53" spans="1:17" x14ac:dyDescent="0.25">
      <c r="A53" s="34" t="s">
        <v>71</v>
      </c>
      <c r="B53" s="31">
        <v>43898569671.440002</v>
      </c>
      <c r="C53" s="13">
        <v>40557322823.510002</v>
      </c>
      <c r="D53" s="31">
        <v>3341246847.9300003</v>
      </c>
      <c r="E53" s="13">
        <v>964662211.82000005</v>
      </c>
      <c r="F53" s="13">
        <v>984776967</v>
      </c>
      <c r="G53" s="14">
        <v>3.39</v>
      </c>
      <c r="H53" s="14">
        <v>0.98</v>
      </c>
      <c r="I53" s="31">
        <v>80388517.651666671</v>
      </c>
      <c r="J53" s="32"/>
      <c r="K53" s="33"/>
      <c r="L53" s="33"/>
      <c r="M53" s="33"/>
      <c r="N53" s="33"/>
      <c r="O53" s="33"/>
      <c r="P53" s="31">
        <v>74966833.989999995</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36</v>
      </c>
      <c r="H56" s="25"/>
    </row>
    <row r="57" spans="1:17" ht="27" customHeight="1" thickBot="1" x14ac:dyDescent="0.3">
      <c r="D57" s="228" t="s">
        <v>73</v>
      </c>
      <c r="E57" s="229"/>
      <c r="F57" s="229"/>
      <c r="G57" s="27"/>
      <c r="H57" s="28">
        <v>30</v>
      </c>
    </row>
  </sheetData>
  <mergeCells count="2">
    <mergeCell ref="D56:F56"/>
    <mergeCell ref="D57:F57"/>
  </mergeCells>
  <conditionalFormatting sqref="G54">
    <cfRule type="cellIs" dxfId="139" priority="13" stopIfTrue="1" operator="greaterThan">
      <formula>2.5</formula>
    </cfRule>
    <cfRule type="cellIs" dxfId="138" priority="14" stopIfTrue="1" operator="between">
      <formula>2.01</formula>
      <formula>2.5</formula>
    </cfRule>
  </conditionalFormatting>
  <conditionalFormatting sqref="H3:H53">
    <cfRule type="cellIs" dxfId="137" priority="12" stopIfTrue="1" operator="lessThan">
      <formula>1</formula>
    </cfRule>
  </conditionalFormatting>
  <conditionalFormatting sqref="G3:G53">
    <cfRule type="cellIs" dxfId="136" priority="10" stopIfTrue="1" operator="greaterThan">
      <formula>2.5</formula>
    </cfRule>
    <cfRule type="cellIs" dxfId="135" priority="11" stopIfTrue="1" operator="between">
      <formula>2.01</formula>
      <formula>2.5</formula>
    </cfRule>
  </conditionalFormatting>
  <conditionalFormatting sqref="K3:K52">
    <cfRule type="cellIs" dxfId="134" priority="8" stopIfTrue="1" operator="greaterThan">
      <formula>$F3*2.5</formula>
    </cfRule>
    <cfRule type="cellIs" dxfId="133" priority="9" stopIfTrue="1" operator="between">
      <formula>$F3*2</formula>
      <formula>$F3*2.5</formula>
    </cfRule>
  </conditionalFormatting>
  <conditionalFormatting sqref="G54">
    <cfRule type="cellIs" dxfId="132" priority="6" stopIfTrue="1" operator="greaterThan">
      <formula>2.5</formula>
    </cfRule>
    <cfRule type="cellIs" dxfId="131" priority="7" stopIfTrue="1" operator="between">
      <formula>2.01</formula>
      <formula>2.5</formula>
    </cfRule>
  </conditionalFormatting>
  <conditionalFormatting sqref="H3:H53">
    <cfRule type="cellIs" dxfId="130" priority="5" stopIfTrue="1" operator="lessThan">
      <formula>1</formula>
    </cfRule>
  </conditionalFormatting>
  <conditionalFormatting sqref="G3:G53">
    <cfRule type="cellIs" dxfId="129" priority="3" stopIfTrue="1" operator="greaterThan">
      <formula>2.5</formula>
    </cfRule>
    <cfRule type="cellIs" dxfId="128" priority="4" stopIfTrue="1" operator="between">
      <formula>2.01</formula>
      <formula>2.5</formula>
    </cfRule>
  </conditionalFormatting>
  <conditionalFormatting sqref="K3:K52">
    <cfRule type="cellIs" dxfId="127" priority="1" stopIfTrue="1" operator="greaterThan">
      <formula>$F3*2.5</formula>
    </cfRule>
    <cfRule type="cellIs" dxfId="126"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AD33-1762-4C23-8B5F-8FD982BF3F55}">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112</v>
      </c>
      <c r="B1" s="178" t="s">
        <v>113</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1161972037.8499999</v>
      </c>
      <c r="C3" s="13">
        <v>1007560188.7</v>
      </c>
      <c r="D3" s="13">
        <v>154411849.14999986</v>
      </c>
      <c r="E3" s="13">
        <v>23616966.210000001</v>
      </c>
      <c r="F3" s="13">
        <v>24581601</v>
      </c>
      <c r="G3" s="14">
        <v>6.28</v>
      </c>
      <c r="H3" s="14">
        <v>0.96</v>
      </c>
      <c r="I3" s="13">
        <v>1968080.5175000001</v>
      </c>
      <c r="J3" s="15">
        <v>3</v>
      </c>
      <c r="K3" s="13">
        <v>148507607.59749985</v>
      </c>
      <c r="L3" s="13">
        <v>35082882.383333288</v>
      </c>
      <c r="M3" s="13">
        <v>30985948.883333284</v>
      </c>
      <c r="N3" s="179">
        <v>43647</v>
      </c>
      <c r="O3" s="16">
        <v>45839</v>
      </c>
      <c r="P3" s="13">
        <v>169122.46</v>
      </c>
      <c r="Q3" s="223" t="e">
        <v>#VALUE!</v>
      </c>
    </row>
    <row r="4" spans="1:17" x14ac:dyDescent="0.2">
      <c r="A4" s="4" t="s">
        <v>22</v>
      </c>
      <c r="B4" s="13">
        <v>722479384.32000005</v>
      </c>
      <c r="C4" s="13">
        <v>644816133.12</v>
      </c>
      <c r="D4" s="13">
        <v>77663251.200000048</v>
      </c>
      <c r="E4" s="13">
        <v>12182005.220000001</v>
      </c>
      <c r="F4" s="13">
        <v>13783001</v>
      </c>
      <c r="G4" s="14">
        <v>5.63</v>
      </c>
      <c r="H4" s="14">
        <v>0.88</v>
      </c>
      <c r="I4" s="13">
        <v>1015167.1016666667</v>
      </c>
      <c r="J4" s="15">
        <v>3</v>
      </c>
      <c r="K4" s="13">
        <v>74617749.895000041</v>
      </c>
      <c r="L4" s="13">
        <v>16699083.066666683</v>
      </c>
      <c r="M4" s="13">
        <v>14401916.233333349</v>
      </c>
      <c r="N4" s="179">
        <v>43647</v>
      </c>
      <c r="O4" s="16">
        <v>45839</v>
      </c>
      <c r="P4" s="13">
        <v>648693.56000000006</v>
      </c>
      <c r="Q4" s="222" t="e">
        <v>#VALUE!</v>
      </c>
    </row>
    <row r="5" spans="1:17" x14ac:dyDescent="0.2">
      <c r="A5" s="4" t="s">
        <v>21</v>
      </c>
      <c r="B5" s="13">
        <v>1834758280.3599999</v>
      </c>
      <c r="C5" s="13">
        <v>1576137794.8699999</v>
      </c>
      <c r="D5" s="13">
        <v>258620485.49000001</v>
      </c>
      <c r="E5" s="13">
        <v>42741104.119999997</v>
      </c>
      <c r="F5" s="13">
        <v>46162390</v>
      </c>
      <c r="G5" s="14">
        <v>5.6</v>
      </c>
      <c r="H5" s="14">
        <v>0.93</v>
      </c>
      <c r="I5" s="13">
        <v>3561758.6766666663</v>
      </c>
      <c r="J5" s="15">
        <v>9</v>
      </c>
      <c r="K5" s="13">
        <v>226564657.40000001</v>
      </c>
      <c r="L5" s="13">
        <v>18477300.609999999</v>
      </c>
      <c r="M5" s="13">
        <v>15912723.387777779</v>
      </c>
      <c r="N5" s="179">
        <v>43831</v>
      </c>
      <c r="O5" s="16">
        <v>46023</v>
      </c>
      <c r="P5" s="13">
        <v>1455351.37</v>
      </c>
      <c r="Q5" s="222" t="e">
        <v>#VALUE!</v>
      </c>
    </row>
    <row r="6" spans="1:17" x14ac:dyDescent="0.2">
      <c r="A6" s="4" t="s">
        <v>24</v>
      </c>
      <c r="B6" s="13">
        <v>1503333344.97</v>
      </c>
      <c r="C6" s="13">
        <v>1317189328.53</v>
      </c>
      <c r="D6" s="13">
        <v>186144016.44000006</v>
      </c>
      <c r="E6" s="13">
        <v>22205573.43</v>
      </c>
      <c r="F6" s="13">
        <v>34090474</v>
      </c>
      <c r="G6" s="14">
        <v>5.46</v>
      </c>
      <c r="H6" s="14">
        <v>0.65</v>
      </c>
      <c r="I6" s="13">
        <v>1850464.4524999999</v>
      </c>
      <c r="J6" s="15">
        <v>3</v>
      </c>
      <c r="K6" s="13">
        <v>180592623.08250007</v>
      </c>
      <c r="L6" s="13">
        <v>39321022.813333355</v>
      </c>
      <c r="M6" s="13">
        <v>33639277.146666683</v>
      </c>
      <c r="N6" s="179">
        <v>43647</v>
      </c>
      <c r="O6" s="16">
        <v>45839</v>
      </c>
      <c r="P6" s="13">
        <v>3422254.29</v>
      </c>
      <c r="Q6" s="222" t="e">
        <v>#VALUE!</v>
      </c>
    </row>
    <row r="7" spans="1:17" x14ac:dyDescent="0.2">
      <c r="A7" s="4" t="s">
        <v>26</v>
      </c>
      <c r="B7" s="13">
        <v>124445693.39</v>
      </c>
      <c r="C7" s="13">
        <v>108189336.29000001</v>
      </c>
      <c r="D7" s="13">
        <v>16256357.099999994</v>
      </c>
      <c r="E7" s="13">
        <v>3794466.18</v>
      </c>
      <c r="F7" s="13">
        <v>3545933</v>
      </c>
      <c r="G7" s="14">
        <v>4.58</v>
      </c>
      <c r="H7" s="14">
        <v>1.07</v>
      </c>
      <c r="I7" s="13">
        <v>316205.51500000001</v>
      </c>
      <c r="J7" s="15">
        <v>9</v>
      </c>
      <c r="K7" s="13">
        <v>13410507.464999994</v>
      </c>
      <c r="L7" s="13">
        <v>1018276.7888888882</v>
      </c>
      <c r="M7" s="13">
        <v>821280.51111111045</v>
      </c>
      <c r="N7" s="179">
        <v>43831</v>
      </c>
      <c r="O7" s="16">
        <v>46023</v>
      </c>
      <c r="P7" s="13">
        <v>0</v>
      </c>
      <c r="Q7" s="222" t="e">
        <v>#VALUE!</v>
      </c>
    </row>
    <row r="8" spans="1:17" x14ac:dyDescent="0.2">
      <c r="A8" s="4" t="s">
        <v>31</v>
      </c>
      <c r="B8" s="13">
        <v>504504813</v>
      </c>
      <c r="C8" s="13">
        <v>456193000.39999998</v>
      </c>
      <c r="D8" s="13">
        <v>48311812.600000024</v>
      </c>
      <c r="E8" s="13">
        <v>10568567.550000001</v>
      </c>
      <c r="F8" s="13">
        <v>10946097</v>
      </c>
      <c r="G8" s="14">
        <v>4.41</v>
      </c>
      <c r="H8" s="14">
        <v>0.97</v>
      </c>
      <c r="I8" s="13">
        <v>880713.96250000002</v>
      </c>
      <c r="J8" s="15">
        <v>9</v>
      </c>
      <c r="K8" s="13">
        <v>40385386.937500022</v>
      </c>
      <c r="L8" s="13">
        <v>2935513.1777777802</v>
      </c>
      <c r="M8" s="13">
        <v>2327396.6777777802</v>
      </c>
      <c r="N8" s="179">
        <v>43831</v>
      </c>
      <c r="O8" s="16">
        <v>46023</v>
      </c>
      <c r="P8" s="13">
        <v>1580904.5</v>
      </c>
      <c r="Q8" s="222" t="e">
        <v>#VALUE!</v>
      </c>
    </row>
    <row r="9" spans="1:17" x14ac:dyDescent="0.2">
      <c r="A9" s="4" t="s">
        <v>23</v>
      </c>
      <c r="B9" s="13">
        <v>1365257298.0599999</v>
      </c>
      <c r="C9" s="13">
        <v>1238604391.96</v>
      </c>
      <c r="D9" s="13">
        <v>126652906.0999999</v>
      </c>
      <c r="E9" s="13">
        <v>52074636.469999999</v>
      </c>
      <c r="F9" s="13">
        <v>28988172</v>
      </c>
      <c r="G9" s="14">
        <v>4.37</v>
      </c>
      <c r="H9" s="14">
        <v>1.8</v>
      </c>
      <c r="I9" s="13">
        <v>4339553.0391666666</v>
      </c>
      <c r="J9" s="15">
        <v>9</v>
      </c>
      <c r="K9" s="13">
        <v>87596928.747499913</v>
      </c>
      <c r="L9" s="13">
        <v>7630729.1222222112</v>
      </c>
      <c r="M9" s="13">
        <v>6020275.1222222112</v>
      </c>
      <c r="N9" s="179">
        <v>43831</v>
      </c>
      <c r="O9" s="16">
        <v>46023</v>
      </c>
      <c r="P9" s="13">
        <v>3539798.1</v>
      </c>
      <c r="Q9" s="222" t="e">
        <v>#VALUE!</v>
      </c>
    </row>
    <row r="10" spans="1:17" x14ac:dyDescent="0.2">
      <c r="A10" s="4" t="s">
        <v>37</v>
      </c>
      <c r="B10" s="13">
        <v>190999038.36000001</v>
      </c>
      <c r="C10" s="13">
        <v>175710265.75</v>
      </c>
      <c r="D10" s="13">
        <v>15288772.610000014</v>
      </c>
      <c r="E10" s="13">
        <v>3004361.75</v>
      </c>
      <c r="F10" s="13">
        <v>3551615</v>
      </c>
      <c r="G10" s="14">
        <v>4.3</v>
      </c>
      <c r="H10" s="14">
        <v>0.85</v>
      </c>
      <c r="I10" s="13">
        <v>250363.47916666666</v>
      </c>
      <c r="J10" s="15">
        <v>3</v>
      </c>
      <c r="K10" s="13">
        <v>14537682.172500014</v>
      </c>
      <c r="L10" s="13">
        <v>2728514.2033333383</v>
      </c>
      <c r="M10" s="13">
        <v>2136578.3700000048</v>
      </c>
      <c r="N10" s="179">
        <v>43647</v>
      </c>
      <c r="O10" s="16">
        <v>45839</v>
      </c>
      <c r="P10" s="13">
        <v>0</v>
      </c>
      <c r="Q10" s="222" t="e">
        <v>#VALUE!</v>
      </c>
    </row>
    <row r="11" spans="1:17" x14ac:dyDescent="0.2">
      <c r="A11" s="4" t="s">
        <v>28</v>
      </c>
      <c r="B11" s="13">
        <v>1966895481</v>
      </c>
      <c r="C11" s="13">
        <v>1873330652.0699999</v>
      </c>
      <c r="D11" s="13">
        <v>93564828.930000067</v>
      </c>
      <c r="E11" s="13">
        <v>21459596.41</v>
      </c>
      <c r="F11" s="13">
        <v>21788490</v>
      </c>
      <c r="G11" s="14">
        <v>4.29</v>
      </c>
      <c r="H11" s="14">
        <v>0.98</v>
      </c>
      <c r="I11" s="13">
        <v>1788299.7008333334</v>
      </c>
      <c r="J11" s="15">
        <v>3</v>
      </c>
      <c r="K11" s="13">
        <v>88199929.82750006</v>
      </c>
      <c r="L11" s="13">
        <v>16662616.310000023</v>
      </c>
      <c r="M11" s="13">
        <v>13031201.310000023</v>
      </c>
      <c r="N11" s="179">
        <v>43647</v>
      </c>
      <c r="O11" s="16">
        <v>45839</v>
      </c>
      <c r="P11" s="13">
        <v>721556.91</v>
      </c>
      <c r="Q11" s="222" t="e">
        <v>#VALUE!</v>
      </c>
    </row>
    <row r="12" spans="1:17" x14ac:dyDescent="0.2">
      <c r="A12" s="4" t="s">
        <v>32</v>
      </c>
      <c r="B12" s="13">
        <v>1194714205.73</v>
      </c>
      <c r="C12" s="13">
        <v>1080908086.95</v>
      </c>
      <c r="D12" s="13">
        <v>113806118.77999997</v>
      </c>
      <c r="E12" s="13">
        <v>21486979.530000001</v>
      </c>
      <c r="F12" s="13">
        <v>26571929</v>
      </c>
      <c r="G12" s="14">
        <v>4.28</v>
      </c>
      <c r="H12" s="14">
        <v>0.81</v>
      </c>
      <c r="I12" s="13">
        <v>1790581.6275000002</v>
      </c>
      <c r="J12" s="15">
        <v>3</v>
      </c>
      <c r="K12" s="13">
        <v>108434373.89749998</v>
      </c>
      <c r="L12" s="13">
        <v>20220753.593333323</v>
      </c>
      <c r="M12" s="13">
        <v>15792098.75999999</v>
      </c>
      <c r="N12" s="179">
        <v>43647</v>
      </c>
      <c r="O12" s="16">
        <v>45839</v>
      </c>
      <c r="P12" s="13">
        <v>698555.42</v>
      </c>
      <c r="Q12" s="222" t="e">
        <v>#VALUE!</v>
      </c>
    </row>
    <row r="13" spans="1:17" x14ac:dyDescent="0.2">
      <c r="A13" s="4" t="s">
        <v>27</v>
      </c>
      <c r="B13" s="13">
        <v>872347192</v>
      </c>
      <c r="C13" s="13">
        <v>790554354.90999997</v>
      </c>
      <c r="D13" s="13">
        <v>81792837.090000033</v>
      </c>
      <c r="E13" s="13">
        <v>15798413.76</v>
      </c>
      <c r="F13" s="13">
        <v>19090913</v>
      </c>
      <c r="G13" s="14">
        <v>4.28</v>
      </c>
      <c r="H13" s="14">
        <v>0.83</v>
      </c>
      <c r="I13" s="13">
        <v>1316534.48</v>
      </c>
      <c r="J13" s="15">
        <v>6</v>
      </c>
      <c r="K13" s="13">
        <v>73893630.210000038</v>
      </c>
      <c r="L13" s="13">
        <v>7268501.8483333392</v>
      </c>
      <c r="M13" s="13">
        <v>5677592.4316666722</v>
      </c>
      <c r="N13" s="179">
        <v>43739</v>
      </c>
      <c r="O13" s="16">
        <v>45931</v>
      </c>
      <c r="P13" s="13">
        <v>1229030.24</v>
      </c>
      <c r="Q13" s="222" t="e">
        <v>#VALUE!</v>
      </c>
    </row>
    <row r="14" spans="1:17" x14ac:dyDescent="0.2">
      <c r="A14" s="4" t="s">
        <v>39</v>
      </c>
      <c r="B14" s="13">
        <v>511163315.91000003</v>
      </c>
      <c r="C14" s="13">
        <v>466218648.35000002</v>
      </c>
      <c r="D14" s="13">
        <v>44944667.560000002</v>
      </c>
      <c r="E14" s="13">
        <v>5583876.4000000004</v>
      </c>
      <c r="F14" s="13">
        <v>10598087</v>
      </c>
      <c r="G14" s="14">
        <v>4.24</v>
      </c>
      <c r="H14" s="14">
        <v>0.53</v>
      </c>
      <c r="I14" s="13">
        <v>465323.03333333338</v>
      </c>
      <c r="J14" s="15">
        <v>3</v>
      </c>
      <c r="K14" s="13">
        <v>43548698.460000001</v>
      </c>
      <c r="L14" s="13">
        <v>7916164.5200000005</v>
      </c>
      <c r="M14" s="13">
        <v>6149816.6866666675</v>
      </c>
      <c r="N14" s="179">
        <v>43647</v>
      </c>
      <c r="O14" s="16">
        <v>45839</v>
      </c>
      <c r="P14" s="13">
        <v>463107.02</v>
      </c>
      <c r="Q14" s="222" t="e">
        <v>#VALUE!</v>
      </c>
    </row>
    <row r="15" spans="1:17" x14ac:dyDescent="0.2">
      <c r="A15" s="4" t="s">
        <v>35</v>
      </c>
      <c r="B15" s="13">
        <v>813673223</v>
      </c>
      <c r="C15" s="13">
        <v>731462604.27999997</v>
      </c>
      <c r="D15" s="13">
        <v>82210618.720000029</v>
      </c>
      <c r="E15" s="13">
        <v>12356262.029999999</v>
      </c>
      <c r="F15" s="13">
        <v>19453948</v>
      </c>
      <c r="G15" s="14">
        <v>4.2300000000000004</v>
      </c>
      <c r="H15" s="14">
        <v>0.64</v>
      </c>
      <c r="I15" s="13">
        <v>1029688.5024999999</v>
      </c>
      <c r="J15" s="15">
        <v>3</v>
      </c>
      <c r="K15" s="13">
        <v>79121553.212500036</v>
      </c>
      <c r="L15" s="13">
        <v>14434240.906666676</v>
      </c>
      <c r="M15" s="13">
        <v>11191916.24000001</v>
      </c>
      <c r="N15" s="179">
        <v>43647</v>
      </c>
      <c r="O15" s="16">
        <v>45839</v>
      </c>
      <c r="P15" s="13">
        <v>271447.42</v>
      </c>
      <c r="Q15" s="222" t="e">
        <v>#VALUE!</v>
      </c>
    </row>
    <row r="16" spans="1:17" x14ac:dyDescent="0.2">
      <c r="A16" s="4" t="s">
        <v>25</v>
      </c>
      <c r="B16" s="13">
        <v>271317340</v>
      </c>
      <c r="C16" s="13">
        <v>246355794.40000001</v>
      </c>
      <c r="D16" s="13">
        <v>24961545.599999994</v>
      </c>
      <c r="E16" s="13">
        <v>7336064.0899999999</v>
      </c>
      <c r="F16" s="13">
        <v>6196840</v>
      </c>
      <c r="G16" s="14">
        <v>4.03</v>
      </c>
      <c r="H16" s="14">
        <v>1.18</v>
      </c>
      <c r="I16" s="13">
        <v>611338.67416666669</v>
      </c>
      <c r="J16" s="15">
        <v>0</v>
      </c>
      <c r="K16" s="13">
        <v>24961545.599999994</v>
      </c>
      <c r="L16" s="13" t="s">
        <v>20</v>
      </c>
      <c r="M16" s="13" t="s">
        <v>20</v>
      </c>
      <c r="N16" s="179">
        <v>43922</v>
      </c>
      <c r="O16" s="16">
        <v>45748</v>
      </c>
      <c r="P16" s="13">
        <v>1465424.71</v>
      </c>
      <c r="Q16" s="222" t="e">
        <v>#VALUE!</v>
      </c>
    </row>
    <row r="17" spans="1:17" x14ac:dyDescent="0.2">
      <c r="A17" s="4" t="s">
        <v>44</v>
      </c>
      <c r="B17" s="13">
        <v>307409614.24000001</v>
      </c>
      <c r="C17" s="13">
        <v>281201574.88</v>
      </c>
      <c r="D17" s="13">
        <v>26208039.360000014</v>
      </c>
      <c r="E17" s="13">
        <v>5540995.1299999999</v>
      </c>
      <c r="F17" s="13">
        <v>6878551</v>
      </c>
      <c r="G17" s="14">
        <v>3.81</v>
      </c>
      <c r="H17" s="14">
        <v>0.81</v>
      </c>
      <c r="I17" s="13">
        <v>461749.59416666668</v>
      </c>
      <c r="J17" s="15">
        <v>3</v>
      </c>
      <c r="K17" s="13">
        <v>24822790.577500015</v>
      </c>
      <c r="L17" s="13">
        <v>4150312.4533333383</v>
      </c>
      <c r="M17" s="13">
        <v>3003887.2866666713</v>
      </c>
      <c r="N17" s="179">
        <v>43647</v>
      </c>
      <c r="O17" s="16">
        <v>45839</v>
      </c>
      <c r="P17" s="13">
        <v>951958</v>
      </c>
      <c r="Q17" s="222" t="e">
        <v>#VALUE!</v>
      </c>
    </row>
    <row r="18" spans="1:17" x14ac:dyDescent="0.2">
      <c r="A18" s="4" t="s">
        <v>34</v>
      </c>
      <c r="B18" s="13">
        <v>1468177330.9100001</v>
      </c>
      <c r="C18" s="13">
        <v>1355055913.8900001</v>
      </c>
      <c r="D18" s="13">
        <v>113121417.01999998</v>
      </c>
      <c r="E18" s="13">
        <v>38026096.560000002</v>
      </c>
      <c r="F18" s="13">
        <v>29748591</v>
      </c>
      <c r="G18" s="14">
        <v>3.8</v>
      </c>
      <c r="H18" s="14">
        <v>1.28</v>
      </c>
      <c r="I18" s="13">
        <v>3168841.3800000004</v>
      </c>
      <c r="J18" s="15">
        <v>3</v>
      </c>
      <c r="K18" s="13">
        <v>103614892.87999998</v>
      </c>
      <c r="L18" s="13">
        <v>17874745.00666666</v>
      </c>
      <c r="M18" s="13">
        <v>12916646.50666666</v>
      </c>
      <c r="N18" s="179">
        <v>43647</v>
      </c>
      <c r="O18" s="16">
        <v>45839</v>
      </c>
      <c r="P18" s="13">
        <v>3036771.5</v>
      </c>
      <c r="Q18" s="222" t="e">
        <v>#VALUE!</v>
      </c>
    </row>
    <row r="19" spans="1:17" x14ac:dyDescent="0.2">
      <c r="A19" s="4" t="s">
        <v>30</v>
      </c>
      <c r="B19" s="13">
        <v>1042589157.45</v>
      </c>
      <c r="C19" s="13">
        <v>966144597.20000005</v>
      </c>
      <c r="D19" s="13">
        <v>76444560.25</v>
      </c>
      <c r="E19" s="13">
        <v>20221990.969999999</v>
      </c>
      <c r="F19" s="13">
        <v>20158365</v>
      </c>
      <c r="G19" s="14">
        <v>3.79</v>
      </c>
      <c r="H19" s="14">
        <v>1</v>
      </c>
      <c r="I19" s="13">
        <v>1685165.9141666666</v>
      </c>
      <c r="J19" s="15">
        <v>0</v>
      </c>
      <c r="K19" s="13">
        <v>76444560.25</v>
      </c>
      <c r="L19" s="13" t="s">
        <v>20</v>
      </c>
      <c r="M19" s="13" t="s">
        <v>20</v>
      </c>
      <c r="N19" s="179">
        <v>43922</v>
      </c>
      <c r="O19" s="16">
        <v>45748</v>
      </c>
      <c r="P19" s="13">
        <v>715619</v>
      </c>
      <c r="Q19" s="222" t="e">
        <v>#VALUE!</v>
      </c>
    </row>
    <row r="20" spans="1:17" x14ac:dyDescent="0.2">
      <c r="A20" s="4" t="s">
        <v>47</v>
      </c>
      <c r="B20" s="13">
        <v>107063879</v>
      </c>
      <c r="C20" s="13">
        <v>97049760.510000005</v>
      </c>
      <c r="D20" s="13">
        <v>10014118.489999995</v>
      </c>
      <c r="E20" s="13">
        <v>2173100.2999999998</v>
      </c>
      <c r="F20" s="13">
        <v>2669761</v>
      </c>
      <c r="G20" s="14">
        <v>3.75</v>
      </c>
      <c r="H20" s="14">
        <v>0.81</v>
      </c>
      <c r="I20" s="13">
        <v>181091.69166666665</v>
      </c>
      <c r="J20" s="15">
        <v>3</v>
      </c>
      <c r="K20" s="13">
        <v>9470843.4149999954</v>
      </c>
      <c r="L20" s="13">
        <v>1558198.8299999982</v>
      </c>
      <c r="M20" s="13">
        <v>1113238.6633333315</v>
      </c>
      <c r="N20" s="179">
        <v>43647</v>
      </c>
      <c r="O20" s="16">
        <v>45839</v>
      </c>
      <c r="P20" s="13">
        <v>940233.79</v>
      </c>
      <c r="Q20" s="222" t="e">
        <v>#VALUE!</v>
      </c>
    </row>
    <row r="21" spans="1:17" x14ac:dyDescent="0.2">
      <c r="A21" s="4" t="s">
        <v>33</v>
      </c>
      <c r="B21" s="13">
        <v>1033187132</v>
      </c>
      <c r="C21" s="13">
        <v>953422839.38</v>
      </c>
      <c r="D21" s="13">
        <v>79764292.620000005</v>
      </c>
      <c r="E21" s="13">
        <v>24693782.510000002</v>
      </c>
      <c r="F21" s="13">
        <v>22862412</v>
      </c>
      <c r="G21" s="14">
        <v>3.49</v>
      </c>
      <c r="H21" s="14">
        <v>1.08</v>
      </c>
      <c r="I21" s="13">
        <v>2057815.2091666667</v>
      </c>
      <c r="J21" s="15">
        <v>0</v>
      </c>
      <c r="K21" s="13">
        <v>79764292.620000005</v>
      </c>
      <c r="L21" s="13" t="s">
        <v>20</v>
      </c>
      <c r="M21" s="13" t="s">
        <v>20</v>
      </c>
      <c r="N21" s="179">
        <v>43922</v>
      </c>
      <c r="O21" s="16">
        <v>45748</v>
      </c>
      <c r="P21" s="13">
        <v>1595070.09</v>
      </c>
      <c r="Q21" s="222" t="e">
        <v>#VALUE!</v>
      </c>
    </row>
    <row r="22" spans="1:17" x14ac:dyDescent="0.2">
      <c r="A22" s="4" t="s">
        <v>46</v>
      </c>
      <c r="B22" s="13">
        <v>321862947.48000002</v>
      </c>
      <c r="C22" s="13">
        <v>296943310.94999999</v>
      </c>
      <c r="D22" s="13">
        <v>24919636.530000031</v>
      </c>
      <c r="E22" s="13">
        <v>8253251.2000000002</v>
      </c>
      <c r="F22" s="13">
        <v>7416560</v>
      </c>
      <c r="G22" s="14">
        <v>3.36</v>
      </c>
      <c r="H22" s="14">
        <v>1.1100000000000001</v>
      </c>
      <c r="I22" s="13">
        <v>687770.93333333335</v>
      </c>
      <c r="J22" s="15">
        <v>3</v>
      </c>
      <c r="K22" s="13">
        <v>22856323.73000003</v>
      </c>
      <c r="L22" s="13">
        <v>3362172.176666677</v>
      </c>
      <c r="M22" s="13">
        <v>2126078.8433333435</v>
      </c>
      <c r="N22" s="179">
        <v>43647</v>
      </c>
      <c r="O22" s="16">
        <v>45839</v>
      </c>
      <c r="P22" s="13">
        <v>675200.28</v>
      </c>
      <c r="Q22" s="222" t="e">
        <v>#VALUE!</v>
      </c>
    </row>
    <row r="23" spans="1:17" x14ac:dyDescent="0.2">
      <c r="A23" s="4" t="s">
        <v>51</v>
      </c>
      <c r="B23" s="13">
        <v>1083940953</v>
      </c>
      <c r="C23" s="13">
        <v>1002820641.89</v>
      </c>
      <c r="D23" s="13">
        <v>81120311.110000014</v>
      </c>
      <c r="E23" s="13">
        <v>20296949.390000001</v>
      </c>
      <c r="F23" s="13">
        <v>24208645</v>
      </c>
      <c r="G23" s="14">
        <v>3.35</v>
      </c>
      <c r="H23" s="14">
        <v>0.84</v>
      </c>
      <c r="I23" s="13">
        <v>1691412.4491666667</v>
      </c>
      <c r="J23" s="15">
        <v>9</v>
      </c>
      <c r="K23" s="13">
        <v>65897599.06750001</v>
      </c>
      <c r="L23" s="13">
        <v>3633669.0122222239</v>
      </c>
      <c r="M23" s="13">
        <v>2288744.2900000014</v>
      </c>
      <c r="N23" s="179">
        <v>43831</v>
      </c>
      <c r="O23" s="16">
        <v>46023</v>
      </c>
      <c r="P23" s="13">
        <v>924657</v>
      </c>
      <c r="Q23" s="222" t="e">
        <v>#VALUE!</v>
      </c>
    </row>
    <row r="24" spans="1:17" x14ac:dyDescent="0.2">
      <c r="A24" s="4" t="s">
        <v>41</v>
      </c>
      <c r="B24" s="13">
        <v>1276422533.53</v>
      </c>
      <c r="C24" s="13">
        <v>1117631809.77</v>
      </c>
      <c r="D24" s="13">
        <v>158790723.75999999</v>
      </c>
      <c r="E24" s="13">
        <v>36146187.909999996</v>
      </c>
      <c r="F24" s="13">
        <v>47644860</v>
      </c>
      <c r="G24" s="14">
        <v>3.33</v>
      </c>
      <c r="H24" s="14">
        <v>0.76</v>
      </c>
      <c r="I24" s="13">
        <v>3012182.3258333332</v>
      </c>
      <c r="J24" s="15">
        <v>9</v>
      </c>
      <c r="K24" s="13">
        <v>131681082.82749999</v>
      </c>
      <c r="L24" s="13">
        <v>7055667.0844444437</v>
      </c>
      <c r="M24" s="13">
        <v>4408730.4177777767</v>
      </c>
      <c r="N24" s="179">
        <v>43831</v>
      </c>
      <c r="O24" s="16">
        <v>46023</v>
      </c>
      <c r="P24" s="13">
        <v>1796583.17</v>
      </c>
      <c r="Q24" s="222" t="e">
        <v>#VALUE!</v>
      </c>
    </row>
    <row r="25" spans="1:17" x14ac:dyDescent="0.2">
      <c r="A25" s="4" t="s">
        <v>55</v>
      </c>
      <c r="B25" s="13">
        <v>689945660</v>
      </c>
      <c r="C25" s="13">
        <v>640585157.75999999</v>
      </c>
      <c r="D25" s="13">
        <v>49360502.24000001</v>
      </c>
      <c r="E25" s="13">
        <v>8368561.5999999996</v>
      </c>
      <c r="F25" s="13">
        <v>14901309</v>
      </c>
      <c r="G25" s="14">
        <v>3.31</v>
      </c>
      <c r="H25" s="14">
        <v>0.56000000000000005</v>
      </c>
      <c r="I25" s="13">
        <v>697380.1333333333</v>
      </c>
      <c r="J25" s="15">
        <v>9</v>
      </c>
      <c r="K25" s="13">
        <v>43084081.040000007</v>
      </c>
      <c r="L25" s="13">
        <v>2173098.2488888898</v>
      </c>
      <c r="M25" s="13">
        <v>1345247.74888889</v>
      </c>
      <c r="N25" s="179">
        <v>43466</v>
      </c>
      <c r="O25" s="16">
        <v>46023</v>
      </c>
      <c r="P25" s="13">
        <v>413827.14</v>
      </c>
      <c r="Q25" s="222" t="e">
        <v>#VALUE!</v>
      </c>
    </row>
    <row r="26" spans="1:17" x14ac:dyDescent="0.2">
      <c r="A26" s="4" t="s">
        <v>45</v>
      </c>
      <c r="B26" s="13">
        <v>2041893568.29</v>
      </c>
      <c r="C26" s="13">
        <v>1907258897.1800001</v>
      </c>
      <c r="D26" s="13">
        <v>134634671.1099999</v>
      </c>
      <c r="E26" s="13">
        <v>37458569.890000001</v>
      </c>
      <c r="F26" s="13">
        <v>40828727</v>
      </c>
      <c r="G26" s="14">
        <v>3.3</v>
      </c>
      <c r="H26" s="14">
        <v>0.92</v>
      </c>
      <c r="I26" s="13">
        <v>3121547.4908333332</v>
      </c>
      <c r="J26" s="15">
        <v>9</v>
      </c>
      <c r="K26" s="13">
        <v>106540743.69249989</v>
      </c>
      <c r="L26" s="13">
        <v>5886357.4566666549</v>
      </c>
      <c r="M26" s="13">
        <v>3618094.8455555439</v>
      </c>
      <c r="N26" s="179">
        <v>43831</v>
      </c>
      <c r="O26" s="16">
        <v>46023</v>
      </c>
      <c r="P26" s="13">
        <v>2661041.62</v>
      </c>
      <c r="Q26" s="222" t="e">
        <v>#VALUE!</v>
      </c>
    </row>
    <row r="27" spans="1:17" x14ac:dyDescent="0.2">
      <c r="A27" s="4" t="s">
        <v>50</v>
      </c>
      <c r="B27" s="13">
        <v>1683242657.0699999</v>
      </c>
      <c r="C27" s="13">
        <v>1551509181.4100001</v>
      </c>
      <c r="D27" s="13">
        <v>131733475.65999985</v>
      </c>
      <c r="E27" s="13">
        <v>36291583.82</v>
      </c>
      <c r="F27" s="13">
        <v>40945091</v>
      </c>
      <c r="G27" s="14">
        <v>3.22</v>
      </c>
      <c r="H27" s="14">
        <v>0.89</v>
      </c>
      <c r="I27" s="13">
        <v>3024298.6516666668</v>
      </c>
      <c r="J27" s="15">
        <v>3</v>
      </c>
      <c r="K27" s="13">
        <v>122660579.70499985</v>
      </c>
      <c r="L27" s="13">
        <v>16614431.219999949</v>
      </c>
      <c r="M27" s="13">
        <v>9790249.3866666164</v>
      </c>
      <c r="N27" s="179">
        <v>43647</v>
      </c>
      <c r="O27" s="16">
        <v>45839</v>
      </c>
      <c r="P27" s="13">
        <v>1964424.49</v>
      </c>
      <c r="Q27" s="222" t="e">
        <v>#VALUE!</v>
      </c>
    </row>
    <row r="28" spans="1:17" x14ac:dyDescent="0.2">
      <c r="A28" s="4" t="s">
        <v>38</v>
      </c>
      <c r="B28" s="13">
        <v>542289730.02999997</v>
      </c>
      <c r="C28" s="13">
        <v>497948888.54000002</v>
      </c>
      <c r="D28" s="13">
        <v>44340841.48999995</v>
      </c>
      <c r="E28" s="13">
        <v>12930528.48</v>
      </c>
      <c r="F28" s="13">
        <v>13960891</v>
      </c>
      <c r="G28" s="14">
        <v>3.18</v>
      </c>
      <c r="H28" s="14">
        <v>0.93</v>
      </c>
      <c r="I28" s="13">
        <v>1077544.04</v>
      </c>
      <c r="J28" s="15">
        <v>3</v>
      </c>
      <c r="K28" s="13">
        <v>41108209.369999953</v>
      </c>
      <c r="L28" s="13">
        <v>5473019.8299999833</v>
      </c>
      <c r="M28" s="13">
        <v>3146204.6633333168</v>
      </c>
      <c r="N28" s="179">
        <v>43647</v>
      </c>
      <c r="O28" s="16">
        <v>45839</v>
      </c>
      <c r="P28" s="13">
        <v>2095046.56</v>
      </c>
      <c r="Q28" s="222" t="e">
        <v>#VALUE!</v>
      </c>
    </row>
    <row r="29" spans="1:17" x14ac:dyDescent="0.2">
      <c r="A29" s="4" t="s">
        <v>43</v>
      </c>
      <c r="B29" s="13">
        <v>259883413</v>
      </c>
      <c r="C29" s="13">
        <v>242113133.25</v>
      </c>
      <c r="D29" s="13">
        <v>17770279.75</v>
      </c>
      <c r="E29" s="13">
        <v>7003283.3099999996</v>
      </c>
      <c r="F29" s="13">
        <v>5643956</v>
      </c>
      <c r="G29" s="14">
        <v>3.15</v>
      </c>
      <c r="H29" s="14">
        <v>1.24</v>
      </c>
      <c r="I29" s="13">
        <v>583606.9425</v>
      </c>
      <c r="J29" s="15">
        <v>9</v>
      </c>
      <c r="K29" s="13">
        <v>12517817.2675</v>
      </c>
      <c r="L29" s="13">
        <v>720263.08333333337</v>
      </c>
      <c r="M29" s="13" t="s">
        <v>42</v>
      </c>
      <c r="N29" s="179">
        <v>43831</v>
      </c>
      <c r="O29" s="16">
        <v>46023</v>
      </c>
      <c r="P29" s="13">
        <v>0</v>
      </c>
      <c r="Q29" s="222" t="e">
        <v>#VALUE!</v>
      </c>
    </row>
    <row r="30" spans="1:17" x14ac:dyDescent="0.2">
      <c r="A30" s="4" t="s">
        <v>56</v>
      </c>
      <c r="B30" s="13">
        <v>1182377479</v>
      </c>
      <c r="C30" s="13">
        <v>1096699754.8900001</v>
      </c>
      <c r="D30" s="13">
        <v>85677724.109999895</v>
      </c>
      <c r="E30" s="13">
        <v>20918657.469999999</v>
      </c>
      <c r="F30" s="13">
        <v>27472066</v>
      </c>
      <c r="G30" s="14">
        <v>3.12</v>
      </c>
      <c r="H30" s="14">
        <v>0.76</v>
      </c>
      <c r="I30" s="13">
        <v>1743221.4558333333</v>
      </c>
      <c r="J30" s="15">
        <v>3</v>
      </c>
      <c r="K30" s="13">
        <v>80448059.742499888</v>
      </c>
      <c r="L30" s="13">
        <v>10244530.703333298</v>
      </c>
      <c r="M30" s="13">
        <v>5665853.0366666317</v>
      </c>
      <c r="N30" s="179">
        <v>43647</v>
      </c>
      <c r="O30" s="16">
        <v>45839</v>
      </c>
      <c r="P30" s="13">
        <v>1161544.43</v>
      </c>
      <c r="Q30" s="222" t="e">
        <v>#VALUE!</v>
      </c>
    </row>
    <row r="31" spans="1:17" x14ac:dyDescent="0.2">
      <c r="A31" s="4" t="s">
        <v>40</v>
      </c>
      <c r="B31" s="13">
        <v>203184641.25</v>
      </c>
      <c r="C31" s="13">
        <v>186600750.56</v>
      </c>
      <c r="D31" s="13">
        <v>16583890.689999998</v>
      </c>
      <c r="E31" s="13">
        <v>7328493.4699999997</v>
      </c>
      <c r="F31" s="13">
        <v>5655134</v>
      </c>
      <c r="G31" s="14">
        <v>2.93</v>
      </c>
      <c r="H31" s="14">
        <v>1.3</v>
      </c>
      <c r="I31" s="13">
        <v>610707.78916666668</v>
      </c>
      <c r="J31" s="15">
        <v>3</v>
      </c>
      <c r="K31" s="13">
        <v>14751767.322499998</v>
      </c>
      <c r="L31" s="13">
        <v>1757874.2299999993</v>
      </c>
      <c r="M31" s="13">
        <v>815351.89666666591</v>
      </c>
      <c r="N31" s="179">
        <v>43647</v>
      </c>
      <c r="O31" s="16">
        <v>45839</v>
      </c>
      <c r="P31" s="13">
        <v>0</v>
      </c>
      <c r="Q31" s="222" t="e">
        <v>#VALUE!</v>
      </c>
    </row>
    <row r="32" spans="1:17" x14ac:dyDescent="0.2">
      <c r="A32" s="4" t="s">
        <v>64</v>
      </c>
      <c r="B32" s="13">
        <v>355494147</v>
      </c>
      <c r="C32" s="13">
        <v>328140846.26999998</v>
      </c>
      <c r="D32" s="13">
        <v>27353300.730000019</v>
      </c>
      <c r="E32" s="13">
        <v>7146048.9299999997</v>
      </c>
      <c r="F32" s="13">
        <v>9435207</v>
      </c>
      <c r="G32" s="14">
        <v>2.9</v>
      </c>
      <c r="H32" s="14">
        <v>0.76</v>
      </c>
      <c r="I32" s="13">
        <v>595504.07750000001</v>
      </c>
      <c r="J32" s="15">
        <v>9</v>
      </c>
      <c r="K32" s="13">
        <v>21993764.032500021</v>
      </c>
      <c r="L32" s="13">
        <v>942542.97000000207</v>
      </c>
      <c r="M32" s="13" t="s">
        <v>42</v>
      </c>
      <c r="N32" s="179">
        <v>43831</v>
      </c>
      <c r="O32" s="16">
        <v>46023</v>
      </c>
      <c r="P32" s="13">
        <v>151288.75</v>
      </c>
      <c r="Q32" s="222" t="e">
        <v>#VALUE!</v>
      </c>
    </row>
    <row r="33" spans="1:17" x14ac:dyDescent="0.2">
      <c r="A33" s="4" t="s">
        <v>52</v>
      </c>
      <c r="B33" s="13">
        <v>535148479</v>
      </c>
      <c r="C33" s="13">
        <v>497250738.00999999</v>
      </c>
      <c r="D33" s="13">
        <v>37897740.99000001</v>
      </c>
      <c r="E33" s="13">
        <v>9834216.4700000007</v>
      </c>
      <c r="F33" s="13">
        <v>13099382</v>
      </c>
      <c r="G33" s="14">
        <v>2.89</v>
      </c>
      <c r="H33" s="14">
        <v>0.75</v>
      </c>
      <c r="I33" s="13">
        <v>819518.03916666668</v>
      </c>
      <c r="J33" s="15">
        <v>3</v>
      </c>
      <c r="K33" s="13">
        <v>35439186.87250001</v>
      </c>
      <c r="L33" s="13">
        <v>3899658.9966666698</v>
      </c>
      <c r="M33" s="13">
        <v>1716428.6633333366</v>
      </c>
      <c r="N33" s="179">
        <v>43647</v>
      </c>
      <c r="O33" s="16">
        <v>45839</v>
      </c>
      <c r="P33" s="13">
        <v>322580.65999999997</v>
      </c>
      <c r="Q33" s="222" t="e">
        <v>#VALUE!</v>
      </c>
    </row>
    <row r="34" spans="1:17" x14ac:dyDescent="0.2">
      <c r="A34" s="4" t="s">
        <v>63</v>
      </c>
      <c r="B34" s="13">
        <v>1340428223.5599999</v>
      </c>
      <c r="C34" s="13">
        <v>1254414899.73</v>
      </c>
      <c r="D34" s="13">
        <v>86013323.829999924</v>
      </c>
      <c r="E34" s="13">
        <v>23102336.280000001</v>
      </c>
      <c r="F34" s="13">
        <v>30689455</v>
      </c>
      <c r="G34" s="14">
        <v>2.8</v>
      </c>
      <c r="H34" s="14">
        <v>0.75</v>
      </c>
      <c r="I34" s="13">
        <v>1925194.6900000002</v>
      </c>
      <c r="J34" s="15">
        <v>3</v>
      </c>
      <c r="K34" s="13">
        <v>80237739.759999931</v>
      </c>
      <c r="L34" s="13">
        <v>8211471.2766666412</v>
      </c>
      <c r="M34" s="13">
        <v>3096562.1099999747</v>
      </c>
      <c r="N34" s="179">
        <v>43647</v>
      </c>
      <c r="O34" s="16">
        <v>45839</v>
      </c>
      <c r="P34" s="13">
        <v>250243.85</v>
      </c>
      <c r="Q34" s="222" t="e">
        <v>#VALUE!</v>
      </c>
    </row>
    <row r="35" spans="1:17" x14ac:dyDescent="0.2">
      <c r="A35" s="4" t="s">
        <v>36</v>
      </c>
      <c r="B35" s="13">
        <v>392596167.93000001</v>
      </c>
      <c r="C35" s="13">
        <v>366622426.26999998</v>
      </c>
      <c r="D35" s="13">
        <v>25973741.660000026</v>
      </c>
      <c r="E35" s="13">
        <v>4758160.42</v>
      </c>
      <c r="F35" s="13">
        <v>9305817</v>
      </c>
      <c r="G35" s="14">
        <v>2.79</v>
      </c>
      <c r="H35" s="14">
        <v>0.51</v>
      </c>
      <c r="I35" s="13">
        <v>396513.36833333335</v>
      </c>
      <c r="J35" s="15">
        <v>0</v>
      </c>
      <c r="K35" s="13">
        <v>25973741.660000026</v>
      </c>
      <c r="L35" s="13" t="s">
        <v>20</v>
      </c>
      <c r="M35" s="13" t="s">
        <v>20</v>
      </c>
      <c r="N35" s="179">
        <v>43556</v>
      </c>
      <c r="O35" s="16">
        <v>45748</v>
      </c>
      <c r="P35" s="13">
        <v>61993.35</v>
      </c>
      <c r="Q35" s="222" t="e">
        <v>#VALUE!</v>
      </c>
    </row>
    <row r="36" spans="1:17" x14ac:dyDescent="0.2">
      <c r="A36" s="4" t="s">
        <v>53</v>
      </c>
      <c r="B36" s="13">
        <v>2950491414.54</v>
      </c>
      <c r="C36" s="13">
        <v>2752389506.9299998</v>
      </c>
      <c r="D36" s="13">
        <v>198101907.61000013</v>
      </c>
      <c r="E36" s="13">
        <v>60380009.43</v>
      </c>
      <c r="F36" s="13">
        <v>71178309</v>
      </c>
      <c r="G36" s="14">
        <v>2.78</v>
      </c>
      <c r="H36" s="14">
        <v>0.85</v>
      </c>
      <c r="I36" s="13">
        <v>5031667.4524999997</v>
      </c>
      <c r="J36" s="15">
        <v>5</v>
      </c>
      <c r="K36" s="13">
        <v>172943570.34750015</v>
      </c>
      <c r="L36" s="13">
        <v>11149057.922000026</v>
      </c>
      <c r="M36" s="13" t="s">
        <v>42</v>
      </c>
      <c r="N36" s="179">
        <v>44075</v>
      </c>
      <c r="O36" s="16">
        <v>45901</v>
      </c>
      <c r="P36" s="13">
        <v>1601484.25</v>
      </c>
      <c r="Q36" s="222" t="e">
        <v>#VALUE!</v>
      </c>
    </row>
    <row r="37" spans="1:17" x14ac:dyDescent="0.2">
      <c r="A37" s="4" t="s">
        <v>61</v>
      </c>
      <c r="B37" s="13">
        <v>1108314599.5</v>
      </c>
      <c r="C37" s="13">
        <v>1047232437.15</v>
      </c>
      <c r="D37" s="13">
        <v>61082162.350000024</v>
      </c>
      <c r="E37" s="13">
        <v>21827664.559999999</v>
      </c>
      <c r="F37" s="13">
        <v>23039495</v>
      </c>
      <c r="G37" s="14">
        <v>2.65</v>
      </c>
      <c r="H37" s="14">
        <v>0.95</v>
      </c>
      <c r="I37" s="13">
        <v>1818972.0466666666</v>
      </c>
      <c r="J37" s="15">
        <v>0</v>
      </c>
      <c r="K37" s="13">
        <v>61082162.350000024</v>
      </c>
      <c r="L37" s="13" t="s">
        <v>20</v>
      </c>
      <c r="M37" s="13" t="s">
        <v>20</v>
      </c>
      <c r="N37" s="179">
        <v>43556</v>
      </c>
      <c r="O37" s="16">
        <v>45748</v>
      </c>
      <c r="P37" s="13">
        <v>1680317.8</v>
      </c>
      <c r="Q37" s="222" t="e">
        <v>#VALUE!</v>
      </c>
    </row>
    <row r="38" spans="1:17" x14ac:dyDescent="0.2">
      <c r="A38" s="4" t="s">
        <v>60</v>
      </c>
      <c r="B38" s="13">
        <v>351543186.45999998</v>
      </c>
      <c r="C38" s="13">
        <v>329184289.82999998</v>
      </c>
      <c r="D38" s="13">
        <v>22358896.629999995</v>
      </c>
      <c r="E38" s="13">
        <v>6310281.7400000002</v>
      </c>
      <c r="F38" s="13">
        <v>8658249</v>
      </c>
      <c r="G38" s="14">
        <v>2.58</v>
      </c>
      <c r="H38" s="14">
        <v>0.73</v>
      </c>
      <c r="I38" s="13">
        <v>525856.81166666665</v>
      </c>
      <c r="J38" s="15">
        <v>0</v>
      </c>
      <c r="K38" s="13">
        <v>22358896.629999995</v>
      </c>
      <c r="L38" s="13" t="s">
        <v>20</v>
      </c>
      <c r="M38" s="13" t="s">
        <v>20</v>
      </c>
      <c r="N38" s="179">
        <v>43556</v>
      </c>
      <c r="O38" s="16">
        <v>45748</v>
      </c>
      <c r="P38" s="13">
        <v>0</v>
      </c>
      <c r="Q38" s="222" t="e">
        <v>#VALUE!</v>
      </c>
    </row>
    <row r="39" spans="1:17" x14ac:dyDescent="0.2">
      <c r="A39" s="4" t="s">
        <v>58</v>
      </c>
      <c r="B39" s="13">
        <v>1227877221</v>
      </c>
      <c r="C39" s="13">
        <v>1169127701.1900001</v>
      </c>
      <c r="D39" s="13">
        <v>58749519.809999943</v>
      </c>
      <c r="E39" s="13">
        <v>20620307.710000001</v>
      </c>
      <c r="F39" s="13">
        <v>22761731</v>
      </c>
      <c r="G39" s="14">
        <v>2.58</v>
      </c>
      <c r="H39" s="14">
        <v>0.91</v>
      </c>
      <c r="I39" s="13">
        <v>1718358.9758333333</v>
      </c>
      <c r="J39" s="15">
        <v>0</v>
      </c>
      <c r="K39" s="13">
        <v>58749519.809999943</v>
      </c>
      <c r="L39" s="13" t="s">
        <v>20</v>
      </c>
      <c r="M39" s="13" t="s">
        <v>20</v>
      </c>
      <c r="N39" s="179">
        <v>43922</v>
      </c>
      <c r="O39" s="16">
        <v>45748</v>
      </c>
      <c r="P39" s="13">
        <v>525019.76</v>
      </c>
      <c r="Q39" s="222" t="e">
        <v>#VALUE!</v>
      </c>
    </row>
    <row r="40" spans="1:17" x14ac:dyDescent="0.2">
      <c r="A40" s="4" t="s">
        <v>59</v>
      </c>
      <c r="B40" s="13">
        <v>285086766</v>
      </c>
      <c r="C40" s="13">
        <v>266642791</v>
      </c>
      <c r="D40" s="13">
        <v>18443975</v>
      </c>
      <c r="E40" s="13">
        <v>8682567.4100000001</v>
      </c>
      <c r="F40" s="13">
        <v>7485780</v>
      </c>
      <c r="G40" s="14">
        <v>2.46</v>
      </c>
      <c r="H40" s="14">
        <v>1.1599999999999999</v>
      </c>
      <c r="I40" s="13">
        <v>723547.28416666668</v>
      </c>
      <c r="J40" s="15">
        <v>3</v>
      </c>
      <c r="K40" s="13">
        <v>16273333.147500001</v>
      </c>
      <c r="L40" s="13">
        <v>1157471.6666666667</v>
      </c>
      <c r="M40" s="13" t="s">
        <v>42</v>
      </c>
      <c r="N40" s="179">
        <v>43647</v>
      </c>
      <c r="O40" s="16">
        <v>45839</v>
      </c>
      <c r="P40" s="13">
        <v>371175</v>
      </c>
      <c r="Q40" s="222" t="e">
        <v>#VALUE!</v>
      </c>
    </row>
    <row r="41" spans="1:17" x14ac:dyDescent="0.2">
      <c r="A41" s="4" t="s">
        <v>49</v>
      </c>
      <c r="B41" s="13">
        <v>1239388142.8299999</v>
      </c>
      <c r="C41" s="13">
        <v>1181934198.6600001</v>
      </c>
      <c r="D41" s="13">
        <v>57453944.169999838</v>
      </c>
      <c r="E41" s="13">
        <v>17351417.030000001</v>
      </c>
      <c r="F41" s="13">
        <v>24088947</v>
      </c>
      <c r="G41" s="14">
        <v>2.39</v>
      </c>
      <c r="H41" s="14">
        <v>0.72</v>
      </c>
      <c r="I41" s="13">
        <v>1445951.4191666667</v>
      </c>
      <c r="J41" s="15">
        <v>3</v>
      </c>
      <c r="K41" s="13">
        <v>53116089.912499838</v>
      </c>
      <c r="L41" s="13">
        <v>3092016.7233332791</v>
      </c>
      <c r="M41" s="13" t="s">
        <v>42</v>
      </c>
      <c r="N41" s="179">
        <v>43647</v>
      </c>
      <c r="O41" s="16">
        <v>45839</v>
      </c>
      <c r="P41" s="13">
        <v>542240.61</v>
      </c>
      <c r="Q41" s="222" t="e">
        <v>#VALUE!</v>
      </c>
    </row>
    <row r="42" spans="1:17" x14ac:dyDescent="0.2">
      <c r="A42" s="4" t="s">
        <v>29</v>
      </c>
      <c r="B42" s="13">
        <v>799406417.05999994</v>
      </c>
      <c r="C42" s="13">
        <v>758032866.39999998</v>
      </c>
      <c r="D42" s="13">
        <v>41373550.659999967</v>
      </c>
      <c r="E42" s="13">
        <v>27179087.34</v>
      </c>
      <c r="F42" s="13">
        <v>17480755</v>
      </c>
      <c r="G42" s="14">
        <v>2.37</v>
      </c>
      <c r="H42" s="14">
        <v>1.55</v>
      </c>
      <c r="I42" s="13">
        <v>2264923.9449999998</v>
      </c>
      <c r="J42" s="15">
        <v>3</v>
      </c>
      <c r="K42" s="13">
        <v>34578778.824999966</v>
      </c>
      <c r="L42" s="13" t="s">
        <v>42</v>
      </c>
      <c r="M42" s="13" t="s">
        <v>42</v>
      </c>
      <c r="N42" s="179">
        <v>43647</v>
      </c>
      <c r="O42" s="16">
        <v>45839</v>
      </c>
      <c r="P42" s="13">
        <v>498084.53</v>
      </c>
      <c r="Q42" s="222" t="e">
        <v>#VALUE!</v>
      </c>
    </row>
    <row r="43" spans="1:17" x14ac:dyDescent="0.2">
      <c r="A43" s="4" t="s">
        <v>62</v>
      </c>
      <c r="B43" s="13">
        <v>699328036.19000006</v>
      </c>
      <c r="C43" s="13">
        <v>667122068.79999995</v>
      </c>
      <c r="D43" s="13">
        <v>32205967.390000105</v>
      </c>
      <c r="E43" s="13">
        <v>12473039.449999999</v>
      </c>
      <c r="F43" s="13">
        <v>14024709</v>
      </c>
      <c r="G43" s="14">
        <v>2.2999999999999998</v>
      </c>
      <c r="H43" s="14">
        <v>0.89</v>
      </c>
      <c r="I43" s="13">
        <v>1039419.9541666666</v>
      </c>
      <c r="J43" s="15">
        <v>0</v>
      </c>
      <c r="K43" s="13">
        <v>32205967.390000105</v>
      </c>
      <c r="L43" s="13" t="s">
        <v>20</v>
      </c>
      <c r="M43" s="13" t="s">
        <v>42</v>
      </c>
      <c r="N43" s="179">
        <v>43922</v>
      </c>
      <c r="O43" s="16">
        <v>45748</v>
      </c>
      <c r="P43" s="13">
        <v>521958.15</v>
      </c>
      <c r="Q43" s="222" t="e">
        <v>#VALUE!</v>
      </c>
    </row>
    <row r="44" spans="1:17" x14ac:dyDescent="0.2">
      <c r="A44" s="4" t="s">
        <v>48</v>
      </c>
      <c r="B44" s="13">
        <v>557171086.30999994</v>
      </c>
      <c r="C44" s="13">
        <v>530469982.41000003</v>
      </c>
      <c r="D44" s="13">
        <v>26701103.899999917</v>
      </c>
      <c r="E44" s="13">
        <v>16346744.1</v>
      </c>
      <c r="F44" s="13">
        <v>11761407</v>
      </c>
      <c r="G44" s="14">
        <v>2.27</v>
      </c>
      <c r="H44" s="14">
        <v>1.39</v>
      </c>
      <c r="I44" s="13">
        <v>1362228.675</v>
      </c>
      <c r="J44" s="15">
        <v>9</v>
      </c>
      <c r="K44" s="13">
        <v>14441045.824999915</v>
      </c>
      <c r="L44" s="13" t="s">
        <v>42</v>
      </c>
      <c r="M44" s="13" t="s">
        <v>42</v>
      </c>
      <c r="N44" s="179">
        <v>43831</v>
      </c>
      <c r="O44" s="16">
        <v>46023</v>
      </c>
      <c r="P44" s="13">
        <v>573895</v>
      </c>
      <c r="Q44" s="222" t="e">
        <v>#VALUE!</v>
      </c>
    </row>
    <row r="45" spans="1:17" x14ac:dyDescent="0.2">
      <c r="A45" s="4" t="s">
        <v>54</v>
      </c>
      <c r="B45" s="13">
        <v>1428807757.99</v>
      </c>
      <c r="C45" s="13">
        <v>1352476217.4100001</v>
      </c>
      <c r="D45" s="13">
        <v>76331540.579999924</v>
      </c>
      <c r="E45" s="13">
        <v>50518177.909999996</v>
      </c>
      <c r="F45" s="13">
        <v>34424780</v>
      </c>
      <c r="G45" s="14">
        <v>2.2200000000000002</v>
      </c>
      <c r="H45" s="14">
        <v>1.47</v>
      </c>
      <c r="I45" s="13">
        <v>4209848.1591666667</v>
      </c>
      <c r="J45" s="15">
        <v>0</v>
      </c>
      <c r="K45" s="13">
        <v>76331540.579999924</v>
      </c>
      <c r="L45" s="13" t="s">
        <v>20</v>
      </c>
      <c r="M45" s="13" t="s">
        <v>42</v>
      </c>
      <c r="N45" s="179">
        <v>43922</v>
      </c>
      <c r="O45" s="16">
        <v>45748</v>
      </c>
      <c r="P45" s="13">
        <v>6103465.0099999998</v>
      </c>
      <c r="Q45" s="222" t="e">
        <v>#VALUE!</v>
      </c>
    </row>
    <row r="46" spans="1:17" x14ac:dyDescent="0.2">
      <c r="A46" s="4" t="s">
        <v>57</v>
      </c>
      <c r="B46" s="13">
        <v>101611843</v>
      </c>
      <c r="C46" s="13">
        <v>95187065.510000005</v>
      </c>
      <c r="D46" s="13">
        <v>6424777.4899999946</v>
      </c>
      <c r="E46" s="13">
        <v>2853809.7</v>
      </c>
      <c r="F46" s="13">
        <v>2910779</v>
      </c>
      <c r="G46" s="14">
        <v>2.21</v>
      </c>
      <c r="H46" s="14">
        <v>0.98</v>
      </c>
      <c r="I46" s="13">
        <v>237817.47500000001</v>
      </c>
      <c r="J46" s="15">
        <v>3</v>
      </c>
      <c r="K46" s="13">
        <v>5711325.0649999948</v>
      </c>
      <c r="L46" s="13" t="s">
        <v>42</v>
      </c>
      <c r="M46" s="13" t="s">
        <v>42</v>
      </c>
      <c r="N46" s="179">
        <v>43647</v>
      </c>
      <c r="O46" s="16">
        <v>45839</v>
      </c>
      <c r="P46" s="13">
        <v>35350</v>
      </c>
      <c r="Q46" s="222" t="e">
        <v>#VALUE!</v>
      </c>
    </row>
    <row r="47" spans="1:17" x14ac:dyDescent="0.2">
      <c r="A47" s="4" t="s">
        <v>66</v>
      </c>
      <c r="B47" s="13">
        <v>1985336227.8699999</v>
      </c>
      <c r="C47" s="13">
        <v>1884758670.02</v>
      </c>
      <c r="D47" s="13">
        <v>100577557.8499999</v>
      </c>
      <c r="E47" s="13">
        <v>42794984.909999996</v>
      </c>
      <c r="F47" s="13">
        <v>45588088</v>
      </c>
      <c r="G47" s="14">
        <v>2.21</v>
      </c>
      <c r="H47" s="14">
        <v>0.94</v>
      </c>
      <c r="I47" s="13">
        <v>3566248.7424999997</v>
      </c>
      <c r="J47" s="15">
        <v>3</v>
      </c>
      <c r="K47" s="13">
        <v>89878811.622499913</v>
      </c>
      <c r="L47" s="13" t="s">
        <v>42</v>
      </c>
      <c r="M47" s="13" t="s">
        <v>42</v>
      </c>
      <c r="N47" s="179">
        <v>43647</v>
      </c>
      <c r="O47" s="16">
        <v>45839</v>
      </c>
      <c r="P47" s="13">
        <v>1547922.81</v>
      </c>
      <c r="Q47" s="222" t="e">
        <v>#VALUE!</v>
      </c>
    </row>
    <row r="48" spans="1:17" x14ac:dyDescent="0.2">
      <c r="A48" s="4" t="s">
        <v>67</v>
      </c>
      <c r="B48" s="13">
        <v>1110426785</v>
      </c>
      <c r="C48" s="13">
        <v>1052613383.5599999</v>
      </c>
      <c r="D48" s="13">
        <v>57813401.440000057</v>
      </c>
      <c r="E48" s="13">
        <v>22337292.100000001</v>
      </c>
      <c r="F48" s="13">
        <v>27485501</v>
      </c>
      <c r="G48" s="14">
        <v>2.1</v>
      </c>
      <c r="H48" s="14">
        <v>0.81</v>
      </c>
      <c r="I48" s="13">
        <v>1861441.0083333335</v>
      </c>
      <c r="J48" s="15">
        <v>0</v>
      </c>
      <c r="K48" s="13">
        <v>57813401.440000057</v>
      </c>
      <c r="L48" s="13" t="s">
        <v>20</v>
      </c>
      <c r="M48" s="13" t="s">
        <v>42</v>
      </c>
      <c r="N48" s="179">
        <v>43922</v>
      </c>
      <c r="O48" s="16">
        <v>45748</v>
      </c>
      <c r="P48" s="13">
        <v>3165036.75</v>
      </c>
      <c r="Q48" s="222" t="e">
        <v>#VALUE!</v>
      </c>
    </row>
    <row r="49" spans="1:17" x14ac:dyDescent="0.2">
      <c r="A49" s="4" t="s">
        <v>68</v>
      </c>
      <c r="B49" s="13">
        <v>509113932</v>
      </c>
      <c r="C49" s="13">
        <v>484439500.13</v>
      </c>
      <c r="D49" s="13">
        <v>24674431.870000005</v>
      </c>
      <c r="E49" s="13">
        <v>10358049.890000001</v>
      </c>
      <c r="F49" s="13">
        <v>11867952</v>
      </c>
      <c r="G49" s="14">
        <v>2.08</v>
      </c>
      <c r="H49" s="14">
        <v>0.87</v>
      </c>
      <c r="I49" s="13">
        <v>863170.82416666672</v>
      </c>
      <c r="J49" s="15">
        <v>9</v>
      </c>
      <c r="K49" s="13">
        <v>16905894.452500004</v>
      </c>
      <c r="L49" s="13" t="s">
        <v>42</v>
      </c>
      <c r="M49" s="13" t="s">
        <v>42</v>
      </c>
      <c r="N49" s="179">
        <v>43831</v>
      </c>
      <c r="O49" s="16">
        <v>46023</v>
      </c>
      <c r="P49" s="13">
        <v>1007513.9</v>
      </c>
      <c r="Q49" s="222" t="e">
        <v>#VALUE!</v>
      </c>
    </row>
    <row r="50" spans="1:17" x14ac:dyDescent="0.2">
      <c r="A50" s="4" t="s">
        <v>65</v>
      </c>
      <c r="B50" s="13">
        <v>398824318</v>
      </c>
      <c r="C50" s="13">
        <v>379333105.57999998</v>
      </c>
      <c r="D50" s="13">
        <v>19491212.420000017</v>
      </c>
      <c r="E50" s="13">
        <v>11617809.5</v>
      </c>
      <c r="F50" s="13">
        <v>9664284</v>
      </c>
      <c r="G50" s="14">
        <v>2.02</v>
      </c>
      <c r="H50" s="14">
        <v>1.2</v>
      </c>
      <c r="I50" s="13">
        <v>968150.79166666663</v>
      </c>
      <c r="J50" s="15">
        <v>3</v>
      </c>
      <c r="K50" s="13">
        <v>16586760.045000017</v>
      </c>
      <c r="L50" s="13" t="s">
        <v>42</v>
      </c>
      <c r="M50" s="13" t="s">
        <v>42</v>
      </c>
      <c r="N50" s="179">
        <v>43647</v>
      </c>
      <c r="O50" s="16">
        <v>45839</v>
      </c>
      <c r="P50" s="13">
        <v>718760.52</v>
      </c>
      <c r="Q50" s="222" t="e">
        <v>#VALUE!</v>
      </c>
    </row>
    <row r="51" spans="1:17" x14ac:dyDescent="0.2">
      <c r="A51" s="4" t="s">
        <v>69</v>
      </c>
      <c r="B51" s="13">
        <v>243764651</v>
      </c>
      <c r="C51" s="13">
        <v>234058959.96000001</v>
      </c>
      <c r="D51" s="13">
        <v>9705691.0399999917</v>
      </c>
      <c r="E51" s="13">
        <v>5932882.9299999997</v>
      </c>
      <c r="F51" s="13">
        <v>5561418</v>
      </c>
      <c r="G51" s="14">
        <v>1.75</v>
      </c>
      <c r="H51" s="14">
        <v>1.07</v>
      </c>
      <c r="I51" s="13">
        <v>494406.91083333333</v>
      </c>
      <c r="J51" s="15">
        <v>3</v>
      </c>
      <c r="K51" s="13">
        <v>8222470.3074999917</v>
      </c>
      <c r="L51" s="13" t="s">
        <v>42</v>
      </c>
      <c r="M51" s="13" t="s">
        <v>42</v>
      </c>
      <c r="N51" s="179">
        <v>43647</v>
      </c>
      <c r="O51" s="16">
        <v>45839</v>
      </c>
      <c r="P51" s="13">
        <v>261952.62</v>
      </c>
      <c r="Q51" s="222" t="e">
        <v>#VALUE!</v>
      </c>
    </row>
    <row r="52" spans="1:17" x14ac:dyDescent="0.2">
      <c r="A52" s="4" t="s">
        <v>70</v>
      </c>
      <c r="B52" s="13">
        <v>78247436</v>
      </c>
      <c r="C52" s="13">
        <v>74216147.840000004</v>
      </c>
      <c r="D52" s="18">
        <v>4031288.1599999964</v>
      </c>
      <c r="E52" s="13">
        <v>2464161.88</v>
      </c>
      <c r="F52" s="13">
        <v>2776815</v>
      </c>
      <c r="G52" s="14">
        <v>1.45</v>
      </c>
      <c r="H52" s="14">
        <v>0.89</v>
      </c>
      <c r="I52" s="18">
        <v>205346.82333333333</v>
      </c>
      <c r="J52" s="15">
        <v>3</v>
      </c>
      <c r="K52" s="18">
        <v>3415247.6899999967</v>
      </c>
      <c r="L52" s="18" t="s">
        <v>42</v>
      </c>
      <c r="M52" s="18" t="s">
        <v>42</v>
      </c>
      <c r="N52" s="180">
        <v>43647</v>
      </c>
      <c r="O52" s="16">
        <v>45839</v>
      </c>
      <c r="P52" s="13">
        <v>4265.3999999999996</v>
      </c>
      <c r="Q52" s="222" t="e">
        <v>#VALUE!</v>
      </c>
    </row>
    <row r="53" spans="1:17" x14ac:dyDescent="0.25">
      <c r="A53" s="34" t="s">
        <v>71</v>
      </c>
      <c r="B53" s="31">
        <v>43979738182.440002</v>
      </c>
      <c r="C53" s="13">
        <v>40611864595.300003</v>
      </c>
      <c r="D53" s="31">
        <v>3367873587.1399994</v>
      </c>
      <c r="E53" s="13">
        <v>924749954.85000002</v>
      </c>
      <c r="F53" s="13">
        <v>983633269</v>
      </c>
      <c r="G53" s="14">
        <v>3.42</v>
      </c>
      <c r="H53" s="14">
        <v>0.94</v>
      </c>
      <c r="I53" s="31">
        <v>77062496.237499997</v>
      </c>
      <c r="J53" s="32"/>
      <c r="K53" s="33"/>
      <c r="L53" s="33"/>
      <c r="M53" s="33"/>
      <c r="N53" s="33"/>
      <c r="O53" s="33"/>
      <c r="P53" s="31">
        <v>54541771.789999992</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37</v>
      </c>
      <c r="H56" s="25"/>
    </row>
    <row r="57" spans="1:17" ht="27" customHeight="1" thickBot="1" x14ac:dyDescent="0.3">
      <c r="D57" s="228" t="s">
        <v>73</v>
      </c>
      <c r="E57" s="229"/>
      <c r="F57" s="229"/>
      <c r="G57" s="27"/>
      <c r="H57" s="28">
        <v>35</v>
      </c>
    </row>
  </sheetData>
  <mergeCells count="2">
    <mergeCell ref="D56:F56"/>
    <mergeCell ref="D57:F57"/>
  </mergeCells>
  <conditionalFormatting sqref="G54">
    <cfRule type="cellIs" dxfId="125" priority="13" stopIfTrue="1" operator="greaterThan">
      <formula>2.5</formula>
    </cfRule>
    <cfRule type="cellIs" dxfId="124" priority="14" stopIfTrue="1" operator="between">
      <formula>2.01</formula>
      <formula>2.5</formula>
    </cfRule>
  </conditionalFormatting>
  <conditionalFormatting sqref="H3:H53">
    <cfRule type="cellIs" dxfId="123" priority="12" stopIfTrue="1" operator="lessThan">
      <formula>1</formula>
    </cfRule>
  </conditionalFormatting>
  <conditionalFormatting sqref="G3:G53">
    <cfRule type="cellIs" dxfId="122" priority="10" stopIfTrue="1" operator="greaterThan">
      <formula>2.5</formula>
    </cfRule>
    <cfRule type="cellIs" dxfId="121" priority="11" stopIfTrue="1" operator="between">
      <formula>2.01</formula>
      <formula>2.5</formula>
    </cfRule>
  </conditionalFormatting>
  <conditionalFormatting sqref="K3:K52">
    <cfRule type="cellIs" dxfId="120" priority="8" stopIfTrue="1" operator="greaterThan">
      <formula>$F3*2.5</formula>
    </cfRule>
    <cfRule type="cellIs" dxfId="119" priority="9" stopIfTrue="1" operator="between">
      <formula>$F3*2</formula>
      <formula>$F3*2.5</formula>
    </cfRule>
  </conditionalFormatting>
  <conditionalFormatting sqref="G54">
    <cfRule type="cellIs" dxfId="118" priority="6" stopIfTrue="1" operator="greaterThan">
      <formula>2.5</formula>
    </cfRule>
    <cfRule type="cellIs" dxfId="117" priority="7" stopIfTrue="1" operator="between">
      <formula>2.01</formula>
      <formula>2.5</formula>
    </cfRule>
  </conditionalFormatting>
  <conditionalFormatting sqref="H3:H53">
    <cfRule type="cellIs" dxfId="116" priority="5" stopIfTrue="1" operator="lessThan">
      <formula>1</formula>
    </cfRule>
  </conditionalFormatting>
  <conditionalFormatting sqref="G3:G53">
    <cfRule type="cellIs" dxfId="115" priority="3" stopIfTrue="1" operator="greaterThan">
      <formula>2.5</formula>
    </cfRule>
    <cfRule type="cellIs" dxfId="114" priority="4" stopIfTrue="1" operator="between">
      <formula>2.01</formula>
      <formula>2.5</formula>
    </cfRule>
  </conditionalFormatting>
  <conditionalFormatting sqref="K3:K52">
    <cfRule type="cellIs" dxfId="113" priority="1" stopIfTrue="1" operator="greaterThan">
      <formula>$F3*2.5</formula>
    </cfRule>
    <cfRule type="cellIs" dxfId="112"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2275-5374-499D-8C02-64C6D7A64F0F}">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114</v>
      </c>
      <c r="B1" s="178" t="s">
        <v>115</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1161972037.8499999</v>
      </c>
      <c r="C3" s="13">
        <v>1007880017.2</v>
      </c>
      <c r="D3" s="13">
        <v>154092020.64999986</v>
      </c>
      <c r="E3" s="13">
        <v>22801753.539999999</v>
      </c>
      <c r="F3" s="13">
        <v>24581601</v>
      </c>
      <c r="G3" s="14">
        <v>6.27</v>
      </c>
      <c r="H3" s="14">
        <v>0.93</v>
      </c>
      <c r="I3" s="13">
        <v>1900146.1283333332</v>
      </c>
      <c r="J3" s="15">
        <v>2</v>
      </c>
      <c r="K3" s="13">
        <v>150291728.3933332</v>
      </c>
      <c r="L3" s="13">
        <v>52464409.324999928</v>
      </c>
      <c r="M3" s="13">
        <v>46319009.074999928</v>
      </c>
      <c r="N3" s="179">
        <v>43647</v>
      </c>
      <c r="O3" s="16">
        <v>45839</v>
      </c>
      <c r="P3" s="13">
        <v>319828.5</v>
      </c>
      <c r="Q3" s="223" t="e">
        <v>#VALUE!</v>
      </c>
    </row>
    <row r="4" spans="1:17" x14ac:dyDescent="0.2">
      <c r="A4" s="4" t="s">
        <v>21</v>
      </c>
      <c r="B4" s="13">
        <v>1834758280.3599999</v>
      </c>
      <c r="C4" s="13">
        <v>1577284707.5999999</v>
      </c>
      <c r="D4" s="13">
        <v>257473572.75999999</v>
      </c>
      <c r="E4" s="13">
        <v>41770579.5</v>
      </c>
      <c r="F4" s="13">
        <v>46162390</v>
      </c>
      <c r="G4" s="14">
        <v>5.58</v>
      </c>
      <c r="H4" s="14">
        <v>0.9</v>
      </c>
      <c r="I4" s="13">
        <v>3480881.625</v>
      </c>
      <c r="J4" s="15">
        <v>8</v>
      </c>
      <c r="K4" s="13">
        <v>229626519.75999999</v>
      </c>
      <c r="L4" s="13">
        <v>20643599.094999999</v>
      </c>
      <c r="M4" s="13">
        <v>17758449.719999999</v>
      </c>
      <c r="N4" s="179">
        <v>43831</v>
      </c>
      <c r="O4" s="16">
        <v>46023</v>
      </c>
      <c r="P4" s="13">
        <v>1146912.73</v>
      </c>
      <c r="Q4" s="222" t="e">
        <v>#VALUE!</v>
      </c>
    </row>
    <row r="5" spans="1:17" x14ac:dyDescent="0.2">
      <c r="A5" s="4" t="s">
        <v>22</v>
      </c>
      <c r="B5" s="13">
        <v>722479384.32000005</v>
      </c>
      <c r="C5" s="13">
        <v>645794486.41999996</v>
      </c>
      <c r="D5" s="13">
        <v>76684897.900000095</v>
      </c>
      <c r="E5" s="13">
        <v>12964380.189999999</v>
      </c>
      <c r="F5" s="13">
        <v>13783001</v>
      </c>
      <c r="G5" s="14">
        <v>5.56</v>
      </c>
      <c r="H5" s="14">
        <v>0.94</v>
      </c>
      <c r="I5" s="13">
        <v>1080365.0158333334</v>
      </c>
      <c r="J5" s="15">
        <v>2</v>
      </c>
      <c r="K5" s="13">
        <v>74524167.868333429</v>
      </c>
      <c r="L5" s="13">
        <v>24559447.950000048</v>
      </c>
      <c r="M5" s="13">
        <v>21113697.700000048</v>
      </c>
      <c r="N5" s="179">
        <v>43647</v>
      </c>
      <c r="O5" s="16">
        <v>45839</v>
      </c>
      <c r="P5" s="13">
        <v>978353.3</v>
      </c>
      <c r="Q5" s="222" t="e">
        <v>#VALUE!</v>
      </c>
    </row>
    <row r="6" spans="1:17" x14ac:dyDescent="0.2">
      <c r="A6" s="4" t="s">
        <v>24</v>
      </c>
      <c r="B6" s="13">
        <v>1503333344.97</v>
      </c>
      <c r="C6" s="13">
        <v>1318729728.1099999</v>
      </c>
      <c r="D6" s="13">
        <v>184603616.86000013</v>
      </c>
      <c r="E6" s="13">
        <v>23190050.140000001</v>
      </c>
      <c r="F6" s="13">
        <v>34090474</v>
      </c>
      <c r="G6" s="14">
        <v>5.42</v>
      </c>
      <c r="H6" s="14">
        <v>0.68</v>
      </c>
      <c r="I6" s="13">
        <v>1932504.1783333335</v>
      </c>
      <c r="J6" s="15">
        <v>2</v>
      </c>
      <c r="K6" s="13">
        <v>180738608.50333348</v>
      </c>
      <c r="L6" s="13">
        <v>58211334.430000067</v>
      </c>
      <c r="M6" s="13">
        <v>49688715.930000067</v>
      </c>
      <c r="N6" s="179">
        <v>43647</v>
      </c>
      <c r="O6" s="16">
        <v>45839</v>
      </c>
      <c r="P6" s="13">
        <v>1540399.58</v>
      </c>
      <c r="Q6" s="222" t="e">
        <v>#VALUE!</v>
      </c>
    </row>
    <row r="7" spans="1:17" x14ac:dyDescent="0.2">
      <c r="A7" s="4" t="s">
        <v>31</v>
      </c>
      <c r="B7" s="13">
        <v>504504813</v>
      </c>
      <c r="C7" s="13">
        <v>457534203.19999999</v>
      </c>
      <c r="D7" s="13">
        <v>46970609.800000012</v>
      </c>
      <c r="E7" s="13">
        <v>11909770.35</v>
      </c>
      <c r="F7" s="13">
        <v>10946097</v>
      </c>
      <c r="G7" s="14">
        <v>4.29</v>
      </c>
      <c r="H7" s="14">
        <v>1.0900000000000001</v>
      </c>
      <c r="I7" s="13">
        <v>992480.86249999993</v>
      </c>
      <c r="J7" s="15">
        <v>8</v>
      </c>
      <c r="K7" s="13">
        <v>39030762.900000013</v>
      </c>
      <c r="L7" s="13">
        <v>3134801.9750000015</v>
      </c>
      <c r="M7" s="13">
        <v>2450670.9125000015</v>
      </c>
      <c r="N7" s="179">
        <v>43831</v>
      </c>
      <c r="O7" s="16">
        <v>46023</v>
      </c>
      <c r="P7" s="13">
        <v>1341202.8</v>
      </c>
      <c r="Q7" s="222" t="e">
        <v>#VALUE!</v>
      </c>
    </row>
    <row r="8" spans="1:17" x14ac:dyDescent="0.2">
      <c r="A8" s="4" t="s">
        <v>26</v>
      </c>
      <c r="B8" s="13">
        <v>124445693.39</v>
      </c>
      <c r="C8" s="13">
        <v>109305270.31999999</v>
      </c>
      <c r="D8" s="13">
        <v>15140423.070000008</v>
      </c>
      <c r="E8" s="13">
        <v>4885039.8899999997</v>
      </c>
      <c r="F8" s="13">
        <v>3545933</v>
      </c>
      <c r="G8" s="14">
        <v>4.2699999999999996</v>
      </c>
      <c r="H8" s="14">
        <v>1.38</v>
      </c>
      <c r="I8" s="13">
        <v>407086.65749999997</v>
      </c>
      <c r="J8" s="15">
        <v>8</v>
      </c>
      <c r="K8" s="13">
        <v>11883729.810000008</v>
      </c>
      <c r="L8" s="13">
        <v>1006069.633750001</v>
      </c>
      <c r="M8" s="13">
        <v>784448.82125000097</v>
      </c>
      <c r="N8" s="179">
        <v>43831</v>
      </c>
      <c r="O8" s="16">
        <v>46023</v>
      </c>
      <c r="P8" s="13">
        <v>1115934.03</v>
      </c>
      <c r="Q8" s="222" t="e">
        <v>#VALUE!</v>
      </c>
    </row>
    <row r="9" spans="1:17" x14ac:dyDescent="0.2">
      <c r="A9" s="4" t="s">
        <v>23</v>
      </c>
      <c r="B9" s="13">
        <v>1365257298.0599999</v>
      </c>
      <c r="C9" s="13">
        <v>1242378511.99</v>
      </c>
      <c r="D9" s="13">
        <v>122878786.06999993</v>
      </c>
      <c r="E9" s="13">
        <v>53788878.469999999</v>
      </c>
      <c r="F9" s="13">
        <v>28988172</v>
      </c>
      <c r="G9" s="14">
        <v>4.24</v>
      </c>
      <c r="H9" s="14">
        <v>1.86</v>
      </c>
      <c r="I9" s="13">
        <v>4482406.5391666666</v>
      </c>
      <c r="J9" s="15">
        <v>8</v>
      </c>
      <c r="K9" s="13">
        <v>87019533.756666601</v>
      </c>
      <c r="L9" s="13">
        <v>8112805.2587499917</v>
      </c>
      <c r="M9" s="13">
        <v>6301044.5087499917</v>
      </c>
      <c r="N9" s="179">
        <v>43831</v>
      </c>
      <c r="O9" s="16">
        <v>46023</v>
      </c>
      <c r="P9" s="13">
        <v>3774120.03</v>
      </c>
      <c r="Q9" s="222" t="e">
        <v>#VALUE!</v>
      </c>
    </row>
    <row r="10" spans="1:17" x14ac:dyDescent="0.2">
      <c r="A10" s="4" t="s">
        <v>28</v>
      </c>
      <c r="B10" s="13">
        <v>1966895481</v>
      </c>
      <c r="C10" s="13">
        <v>1874995469.0799999</v>
      </c>
      <c r="D10" s="13">
        <v>91900011.920000076</v>
      </c>
      <c r="E10" s="13">
        <v>21371426.949999999</v>
      </c>
      <c r="F10" s="13">
        <v>21788490</v>
      </c>
      <c r="G10" s="14">
        <v>4.22</v>
      </c>
      <c r="H10" s="14">
        <v>0.98</v>
      </c>
      <c r="I10" s="13">
        <v>1780952.2458333333</v>
      </c>
      <c r="J10" s="15">
        <v>2</v>
      </c>
      <c r="K10" s="13">
        <v>88338107.428333417</v>
      </c>
      <c r="L10" s="13">
        <v>24161515.960000038</v>
      </c>
      <c r="M10" s="13">
        <v>18714393.460000038</v>
      </c>
      <c r="N10" s="179">
        <v>43647</v>
      </c>
      <c r="O10" s="16">
        <v>45839</v>
      </c>
      <c r="P10" s="13">
        <v>1664817.01</v>
      </c>
      <c r="Q10" s="222" t="e">
        <v>#VALUE!</v>
      </c>
    </row>
    <row r="11" spans="1:17" x14ac:dyDescent="0.2">
      <c r="A11" s="4" t="s">
        <v>27</v>
      </c>
      <c r="B11" s="13">
        <v>872347192</v>
      </c>
      <c r="C11" s="13">
        <v>792030197.58000004</v>
      </c>
      <c r="D11" s="13">
        <v>80316994.419999957</v>
      </c>
      <c r="E11" s="13">
        <v>17269716.949999999</v>
      </c>
      <c r="F11" s="13">
        <v>19090913</v>
      </c>
      <c r="G11" s="14">
        <v>4.21</v>
      </c>
      <c r="H11" s="14">
        <v>0.9</v>
      </c>
      <c r="I11" s="13">
        <v>1439143.0791666666</v>
      </c>
      <c r="J11" s="15">
        <v>5</v>
      </c>
      <c r="K11" s="13">
        <v>73121279.024166629</v>
      </c>
      <c r="L11" s="13">
        <v>8427033.683999991</v>
      </c>
      <c r="M11" s="13">
        <v>6517942.3839999912</v>
      </c>
      <c r="N11" s="179">
        <v>43739</v>
      </c>
      <c r="O11" s="16">
        <v>45931</v>
      </c>
      <c r="P11" s="13">
        <v>1475842.67</v>
      </c>
      <c r="Q11" s="222" t="e">
        <v>#VALUE!</v>
      </c>
    </row>
    <row r="12" spans="1:17" x14ac:dyDescent="0.2">
      <c r="A12" s="4" t="s">
        <v>32</v>
      </c>
      <c r="B12" s="13">
        <v>1194714205.73</v>
      </c>
      <c r="C12" s="13">
        <v>1083404661.95</v>
      </c>
      <c r="D12" s="13">
        <v>111309543.77999997</v>
      </c>
      <c r="E12" s="13">
        <v>21702329.530000001</v>
      </c>
      <c r="F12" s="13">
        <v>26571929</v>
      </c>
      <c r="G12" s="14">
        <v>4.1900000000000004</v>
      </c>
      <c r="H12" s="14">
        <v>0.82</v>
      </c>
      <c r="I12" s="13">
        <v>1808527.4608333334</v>
      </c>
      <c r="J12" s="15">
        <v>2</v>
      </c>
      <c r="K12" s="13">
        <v>107692488.8583333</v>
      </c>
      <c r="L12" s="13">
        <v>29082842.889999986</v>
      </c>
      <c r="M12" s="13">
        <v>22439860.639999986</v>
      </c>
      <c r="N12" s="179">
        <v>43647</v>
      </c>
      <c r="O12" s="16">
        <v>45839</v>
      </c>
      <c r="P12" s="13">
        <v>2496575</v>
      </c>
      <c r="Q12" s="222" t="e">
        <v>#VALUE!</v>
      </c>
    </row>
    <row r="13" spans="1:17" x14ac:dyDescent="0.2">
      <c r="A13" s="4" t="s">
        <v>35</v>
      </c>
      <c r="B13" s="13">
        <v>813673223</v>
      </c>
      <c r="C13" s="13">
        <v>732380444.04999995</v>
      </c>
      <c r="D13" s="13">
        <v>81292778.950000048</v>
      </c>
      <c r="E13" s="13">
        <v>12116809.439999999</v>
      </c>
      <c r="F13" s="13">
        <v>19453948</v>
      </c>
      <c r="G13" s="14">
        <v>4.18</v>
      </c>
      <c r="H13" s="14">
        <v>0.62</v>
      </c>
      <c r="I13" s="13">
        <v>1009734.12</v>
      </c>
      <c r="J13" s="15">
        <v>2</v>
      </c>
      <c r="K13" s="13">
        <v>79273310.710000053</v>
      </c>
      <c r="L13" s="13">
        <v>21192441.475000024</v>
      </c>
      <c r="M13" s="13">
        <v>16328954.475000024</v>
      </c>
      <c r="N13" s="179">
        <v>43647</v>
      </c>
      <c r="O13" s="16">
        <v>45839</v>
      </c>
      <c r="P13" s="13">
        <v>917839.77</v>
      </c>
      <c r="Q13" s="222" t="e">
        <v>#VALUE!</v>
      </c>
    </row>
    <row r="14" spans="1:17" x14ac:dyDescent="0.2">
      <c r="A14" s="4" t="s">
        <v>39</v>
      </c>
      <c r="B14" s="13">
        <v>511163315.91000003</v>
      </c>
      <c r="C14" s="13">
        <v>467336371.54000002</v>
      </c>
      <c r="D14" s="13">
        <v>43826944.370000005</v>
      </c>
      <c r="E14" s="13">
        <v>6406767.3200000003</v>
      </c>
      <c r="F14" s="13">
        <v>10598087</v>
      </c>
      <c r="G14" s="14">
        <v>4.1399999999999997</v>
      </c>
      <c r="H14" s="14">
        <v>0.6</v>
      </c>
      <c r="I14" s="13">
        <v>533897.27666666673</v>
      </c>
      <c r="J14" s="15">
        <v>2</v>
      </c>
      <c r="K14" s="13">
        <v>42759149.81666667</v>
      </c>
      <c r="L14" s="13">
        <v>11315385.185000002</v>
      </c>
      <c r="M14" s="13">
        <v>8665863.4350000024</v>
      </c>
      <c r="N14" s="179">
        <v>43647</v>
      </c>
      <c r="O14" s="16">
        <v>45839</v>
      </c>
      <c r="P14" s="13">
        <v>1117723.19</v>
      </c>
      <c r="Q14" s="222" t="e">
        <v>#VALUE!</v>
      </c>
    </row>
    <row r="15" spans="1:17" x14ac:dyDescent="0.2">
      <c r="A15" s="4" t="s">
        <v>25</v>
      </c>
      <c r="B15" s="13">
        <v>271317340</v>
      </c>
      <c r="C15" s="13">
        <v>247284496.84</v>
      </c>
      <c r="D15" s="13">
        <v>24032843.159999996</v>
      </c>
      <c r="E15" s="13">
        <v>7823477.2599999998</v>
      </c>
      <c r="F15" s="13">
        <v>6196840</v>
      </c>
      <c r="G15" s="14">
        <v>3.88</v>
      </c>
      <c r="H15" s="14">
        <v>1.26</v>
      </c>
      <c r="I15" s="13">
        <v>651956.43833333335</v>
      </c>
      <c r="J15" s="15">
        <v>0</v>
      </c>
      <c r="K15" s="13">
        <v>24032843.159999996</v>
      </c>
      <c r="L15" s="13" t="s">
        <v>20</v>
      </c>
      <c r="M15" s="13" t="s">
        <v>20</v>
      </c>
      <c r="N15" s="179">
        <v>43922</v>
      </c>
      <c r="O15" s="16">
        <v>45748</v>
      </c>
      <c r="P15" s="13">
        <v>928702.44</v>
      </c>
      <c r="Q15" s="222" t="e">
        <v>#VALUE!</v>
      </c>
    </row>
    <row r="16" spans="1:17" x14ac:dyDescent="0.2">
      <c r="A16" s="4" t="s">
        <v>47</v>
      </c>
      <c r="B16" s="13">
        <v>107063879</v>
      </c>
      <c r="C16" s="13">
        <v>97114299.439999998</v>
      </c>
      <c r="D16" s="13">
        <v>9949579.5600000024</v>
      </c>
      <c r="E16" s="13">
        <v>2138014.84</v>
      </c>
      <c r="F16" s="13">
        <v>2669761</v>
      </c>
      <c r="G16" s="14">
        <v>3.73</v>
      </c>
      <c r="H16" s="14">
        <v>0.8</v>
      </c>
      <c r="I16" s="13">
        <v>178167.90333333332</v>
      </c>
      <c r="J16" s="15">
        <v>2</v>
      </c>
      <c r="K16" s="13">
        <v>9593243.7533333357</v>
      </c>
      <c r="L16" s="13">
        <v>2305028.7800000012</v>
      </c>
      <c r="M16" s="13">
        <v>1637588.5300000012</v>
      </c>
      <c r="N16" s="179">
        <v>43647</v>
      </c>
      <c r="O16" s="16">
        <v>45839</v>
      </c>
      <c r="P16" s="13">
        <v>64538.93</v>
      </c>
      <c r="Q16" s="222" t="e">
        <v>#VALUE!</v>
      </c>
    </row>
    <row r="17" spans="1:17" x14ac:dyDescent="0.2">
      <c r="A17" s="4" t="s">
        <v>44</v>
      </c>
      <c r="B17" s="13">
        <v>307409614.24000001</v>
      </c>
      <c r="C17" s="13">
        <v>281840046.49000001</v>
      </c>
      <c r="D17" s="13">
        <v>25569567.75</v>
      </c>
      <c r="E17" s="13">
        <v>5387749.2699999996</v>
      </c>
      <c r="F17" s="13">
        <v>6878551</v>
      </c>
      <c r="G17" s="14">
        <v>3.72</v>
      </c>
      <c r="H17" s="14">
        <v>0.78</v>
      </c>
      <c r="I17" s="13">
        <v>448979.10583333328</v>
      </c>
      <c r="J17" s="15">
        <v>2</v>
      </c>
      <c r="K17" s="13">
        <v>24671609.538333334</v>
      </c>
      <c r="L17" s="13">
        <v>5906232.875</v>
      </c>
      <c r="M17" s="13">
        <v>4186595.125</v>
      </c>
      <c r="N17" s="179">
        <v>43647</v>
      </c>
      <c r="O17" s="16">
        <v>45839</v>
      </c>
      <c r="P17" s="13">
        <v>638471.61</v>
      </c>
      <c r="Q17" s="222" t="e">
        <v>#VALUE!</v>
      </c>
    </row>
    <row r="18" spans="1:17" x14ac:dyDescent="0.2">
      <c r="A18" s="4" t="s">
        <v>30</v>
      </c>
      <c r="B18" s="13">
        <v>1042589157.45</v>
      </c>
      <c r="C18" s="13">
        <v>967832422.20000005</v>
      </c>
      <c r="D18" s="13">
        <v>74756735.25</v>
      </c>
      <c r="E18" s="13">
        <v>20349095.16</v>
      </c>
      <c r="F18" s="13">
        <v>20158365</v>
      </c>
      <c r="G18" s="14">
        <v>3.71</v>
      </c>
      <c r="H18" s="14">
        <v>1.01</v>
      </c>
      <c r="I18" s="13">
        <v>1695757.93</v>
      </c>
      <c r="J18" s="15">
        <v>0</v>
      </c>
      <c r="K18" s="13">
        <v>74756735.25</v>
      </c>
      <c r="L18" s="13" t="s">
        <v>20</v>
      </c>
      <c r="M18" s="13" t="s">
        <v>20</v>
      </c>
      <c r="N18" s="179">
        <v>43922</v>
      </c>
      <c r="O18" s="16">
        <v>45748</v>
      </c>
      <c r="P18" s="13">
        <v>1687825</v>
      </c>
      <c r="Q18" s="222" t="e">
        <v>#VALUE!</v>
      </c>
    </row>
    <row r="19" spans="1:17" x14ac:dyDescent="0.2">
      <c r="A19" s="4" t="s">
        <v>34</v>
      </c>
      <c r="B19" s="13">
        <v>1468177330.9100001</v>
      </c>
      <c r="C19" s="13">
        <v>1363833817.79</v>
      </c>
      <c r="D19" s="13">
        <v>104343513.12000012</v>
      </c>
      <c r="E19" s="13">
        <v>37948943.579999998</v>
      </c>
      <c r="F19" s="13">
        <v>29748591</v>
      </c>
      <c r="G19" s="14">
        <v>3.51</v>
      </c>
      <c r="H19" s="14">
        <v>1.28</v>
      </c>
      <c r="I19" s="13">
        <v>3162411.9649999999</v>
      </c>
      <c r="J19" s="15">
        <v>2</v>
      </c>
      <c r="K19" s="13">
        <v>98018689.190000117</v>
      </c>
      <c r="L19" s="13">
        <v>22423165.560000062</v>
      </c>
      <c r="M19" s="13">
        <v>14986017.810000062</v>
      </c>
      <c r="N19" s="179">
        <v>43647</v>
      </c>
      <c r="O19" s="16">
        <v>45839</v>
      </c>
      <c r="P19" s="13">
        <v>8777903.9000000004</v>
      </c>
      <c r="Q19" s="222" t="e">
        <v>#VALUE!</v>
      </c>
    </row>
    <row r="20" spans="1:17" x14ac:dyDescent="0.2">
      <c r="A20" s="4" t="s">
        <v>37</v>
      </c>
      <c r="B20" s="13">
        <v>190999038.36000001</v>
      </c>
      <c r="C20" s="13">
        <v>178841168.40000001</v>
      </c>
      <c r="D20" s="13">
        <v>12157869.960000008</v>
      </c>
      <c r="E20" s="13">
        <v>5633499.0499999998</v>
      </c>
      <c r="F20" s="13">
        <v>3551615</v>
      </c>
      <c r="G20" s="14">
        <v>3.42</v>
      </c>
      <c r="H20" s="14">
        <v>1.59</v>
      </c>
      <c r="I20" s="13">
        <v>469458.25416666665</v>
      </c>
      <c r="J20" s="15">
        <v>2</v>
      </c>
      <c r="K20" s="13">
        <v>11218953.451666676</v>
      </c>
      <c r="L20" s="13">
        <v>2527319.9800000042</v>
      </c>
      <c r="M20" s="13">
        <v>1639416.2300000042</v>
      </c>
      <c r="N20" s="179">
        <v>43647</v>
      </c>
      <c r="O20" s="16">
        <v>45839</v>
      </c>
      <c r="P20" s="13">
        <v>3130902.65</v>
      </c>
      <c r="Q20" s="222" t="e">
        <v>#VALUE!</v>
      </c>
    </row>
    <row r="21" spans="1:17" x14ac:dyDescent="0.2">
      <c r="A21" s="4" t="s">
        <v>33</v>
      </c>
      <c r="B21" s="13">
        <v>1033187132</v>
      </c>
      <c r="C21" s="13">
        <v>955212948.15999997</v>
      </c>
      <c r="D21" s="13">
        <v>77974183.840000033</v>
      </c>
      <c r="E21" s="13">
        <v>23183926.09</v>
      </c>
      <c r="F21" s="13">
        <v>22862412</v>
      </c>
      <c r="G21" s="14">
        <v>3.41</v>
      </c>
      <c r="H21" s="14">
        <v>1.01</v>
      </c>
      <c r="I21" s="13">
        <v>1931993.8408333333</v>
      </c>
      <c r="J21" s="15">
        <v>0</v>
      </c>
      <c r="K21" s="13">
        <v>77974183.840000033</v>
      </c>
      <c r="L21" s="13" t="s">
        <v>20</v>
      </c>
      <c r="M21" s="13" t="s">
        <v>20</v>
      </c>
      <c r="N21" s="179">
        <v>43922</v>
      </c>
      <c r="O21" s="16">
        <v>45748</v>
      </c>
      <c r="P21" s="13">
        <v>1790108.78</v>
      </c>
      <c r="Q21" s="222" t="e">
        <v>#VALUE!</v>
      </c>
    </row>
    <row r="22" spans="1:17" x14ac:dyDescent="0.2">
      <c r="A22" s="4" t="s">
        <v>49</v>
      </c>
      <c r="B22" s="13">
        <v>1263148065.8299999</v>
      </c>
      <c r="C22" s="13">
        <v>1183994170.1600001</v>
      </c>
      <c r="D22" s="13">
        <v>79153895.669999838</v>
      </c>
      <c r="E22" s="13">
        <v>17050312.18</v>
      </c>
      <c r="F22" s="13">
        <v>23759923</v>
      </c>
      <c r="G22" s="14">
        <v>3.33</v>
      </c>
      <c r="H22" s="14">
        <v>0.72</v>
      </c>
      <c r="I22" s="13">
        <v>1420859.3483333334</v>
      </c>
      <c r="J22" s="15">
        <v>2</v>
      </c>
      <c r="K22" s="13">
        <v>76312176.973333165</v>
      </c>
      <c r="L22" s="13">
        <v>15817024.834999919</v>
      </c>
      <c r="M22" s="13">
        <v>9877044.0849999189</v>
      </c>
      <c r="N22" s="179">
        <v>43647</v>
      </c>
      <c r="O22" s="16">
        <v>45839</v>
      </c>
      <c r="P22" s="13">
        <v>2059971.5</v>
      </c>
      <c r="Q22" s="222" t="e">
        <v>#VALUE!</v>
      </c>
    </row>
    <row r="23" spans="1:17" x14ac:dyDescent="0.2">
      <c r="A23" s="4" t="s">
        <v>46</v>
      </c>
      <c r="B23" s="13">
        <v>321862947.48000002</v>
      </c>
      <c r="C23" s="13">
        <v>297380620.98000002</v>
      </c>
      <c r="D23" s="13">
        <v>24482326.5</v>
      </c>
      <c r="E23" s="13">
        <v>8131364.4000000004</v>
      </c>
      <c r="F23" s="13">
        <v>7416560</v>
      </c>
      <c r="G23" s="14">
        <v>3.3</v>
      </c>
      <c r="H23" s="14">
        <v>1.1000000000000001</v>
      </c>
      <c r="I23" s="13">
        <v>677613.70000000007</v>
      </c>
      <c r="J23" s="15">
        <v>2</v>
      </c>
      <c r="K23" s="13">
        <v>23127099.100000001</v>
      </c>
      <c r="L23" s="13">
        <v>4824603.25</v>
      </c>
      <c r="M23" s="13">
        <v>2970463.25</v>
      </c>
      <c r="N23" s="179">
        <v>43647</v>
      </c>
      <c r="O23" s="16">
        <v>45839</v>
      </c>
      <c r="P23" s="13">
        <v>437310.03</v>
      </c>
      <c r="Q23" s="222" t="e">
        <v>#VALUE!</v>
      </c>
    </row>
    <row r="24" spans="1:17" x14ac:dyDescent="0.2">
      <c r="A24" s="4" t="s">
        <v>51</v>
      </c>
      <c r="B24" s="13">
        <v>1083940953</v>
      </c>
      <c r="C24" s="13">
        <v>1004222809.89</v>
      </c>
      <c r="D24" s="13">
        <v>79718143.110000014</v>
      </c>
      <c r="E24" s="13">
        <v>20567308.899999999</v>
      </c>
      <c r="F24" s="13">
        <v>24208645</v>
      </c>
      <c r="G24" s="14">
        <v>3.29</v>
      </c>
      <c r="H24" s="14">
        <v>0.85</v>
      </c>
      <c r="I24" s="13">
        <v>1713942.4083333332</v>
      </c>
      <c r="J24" s="15">
        <v>8</v>
      </c>
      <c r="K24" s="13">
        <v>66006603.843333349</v>
      </c>
      <c r="L24" s="13">
        <v>3912606.6387500018</v>
      </c>
      <c r="M24" s="13">
        <v>2399566.3262500018</v>
      </c>
      <c r="N24" s="179">
        <v>43831</v>
      </c>
      <c r="O24" s="16">
        <v>46023</v>
      </c>
      <c r="P24" s="13">
        <v>1402168</v>
      </c>
      <c r="Q24" s="222" t="e">
        <v>#VALUE!</v>
      </c>
    </row>
    <row r="25" spans="1:17" x14ac:dyDescent="0.2">
      <c r="A25" s="4" t="s">
        <v>55</v>
      </c>
      <c r="B25" s="13">
        <v>689945660</v>
      </c>
      <c r="C25" s="13">
        <v>641161472.54999995</v>
      </c>
      <c r="D25" s="13">
        <v>48784187.450000048</v>
      </c>
      <c r="E25" s="13">
        <v>8609266.9299999997</v>
      </c>
      <c r="F25" s="13">
        <v>14901309</v>
      </c>
      <c r="G25" s="14">
        <v>3.27</v>
      </c>
      <c r="H25" s="14">
        <v>0.57999999999999996</v>
      </c>
      <c r="I25" s="13">
        <v>717438.91083333327</v>
      </c>
      <c r="J25" s="15">
        <v>8</v>
      </c>
      <c r="K25" s="13">
        <v>43044676.163333379</v>
      </c>
      <c r="L25" s="13">
        <v>2372696.181250006</v>
      </c>
      <c r="M25" s="13">
        <v>1441364.368750006</v>
      </c>
      <c r="N25" s="179">
        <v>43466</v>
      </c>
      <c r="O25" s="16">
        <v>46023</v>
      </c>
      <c r="P25" s="13">
        <v>576314.79</v>
      </c>
      <c r="Q25" s="222" t="e">
        <v>#VALUE!</v>
      </c>
    </row>
    <row r="26" spans="1:17" x14ac:dyDescent="0.2">
      <c r="A26" s="4" t="s">
        <v>41</v>
      </c>
      <c r="B26" s="13">
        <v>1276422533.53</v>
      </c>
      <c r="C26" s="13">
        <v>1121325922.73</v>
      </c>
      <c r="D26" s="13">
        <v>155096610.79999995</v>
      </c>
      <c r="E26" s="13">
        <v>37402338.350000001</v>
      </c>
      <c r="F26" s="13">
        <v>47644860</v>
      </c>
      <c r="G26" s="14">
        <v>3.26</v>
      </c>
      <c r="H26" s="14">
        <v>0.79</v>
      </c>
      <c r="I26" s="13">
        <v>3116861.5291666668</v>
      </c>
      <c r="J26" s="15">
        <v>8</v>
      </c>
      <c r="K26" s="13">
        <v>130161718.56666662</v>
      </c>
      <c r="L26" s="13">
        <v>7475861.349999994</v>
      </c>
      <c r="M26" s="13">
        <v>4498057.599999994</v>
      </c>
      <c r="N26" s="179">
        <v>43831</v>
      </c>
      <c r="O26" s="16">
        <v>46023</v>
      </c>
      <c r="P26" s="13">
        <v>3694112.96</v>
      </c>
      <c r="Q26" s="222" t="e">
        <v>#VALUE!</v>
      </c>
    </row>
    <row r="27" spans="1:17" x14ac:dyDescent="0.2">
      <c r="A27" s="4" t="s">
        <v>38</v>
      </c>
      <c r="B27" s="13">
        <v>542289730.02999997</v>
      </c>
      <c r="C27" s="13">
        <v>497948888.54000002</v>
      </c>
      <c r="D27" s="13">
        <v>44340841.48999995</v>
      </c>
      <c r="E27" s="13">
        <v>7768023.8099999996</v>
      </c>
      <c r="F27" s="13">
        <v>13960891</v>
      </c>
      <c r="G27" s="14">
        <v>3.18</v>
      </c>
      <c r="H27" s="14">
        <v>0.56000000000000005</v>
      </c>
      <c r="I27" s="13">
        <v>647335.3175</v>
      </c>
      <c r="J27" s="15">
        <v>2</v>
      </c>
      <c r="K27" s="13">
        <v>43046170.854999952</v>
      </c>
      <c r="L27" s="13">
        <v>8209529.744999975</v>
      </c>
      <c r="M27" s="13">
        <v>4719306.994999975</v>
      </c>
      <c r="N27" s="179">
        <v>43647</v>
      </c>
      <c r="O27" s="16">
        <v>45839</v>
      </c>
      <c r="P27" s="13">
        <v>0</v>
      </c>
      <c r="Q27" s="222" t="e">
        <v>#VALUE!</v>
      </c>
    </row>
    <row r="28" spans="1:17" x14ac:dyDescent="0.2">
      <c r="A28" s="4" t="s">
        <v>50</v>
      </c>
      <c r="B28" s="13">
        <v>1683242657.0699999</v>
      </c>
      <c r="C28" s="13">
        <v>1553032366.4000001</v>
      </c>
      <c r="D28" s="13">
        <v>130210290.66999984</v>
      </c>
      <c r="E28" s="13">
        <v>33815697.170000002</v>
      </c>
      <c r="F28" s="13">
        <v>40945091</v>
      </c>
      <c r="G28" s="14">
        <v>3.18</v>
      </c>
      <c r="H28" s="14">
        <v>0.83</v>
      </c>
      <c r="I28" s="13">
        <v>2817974.7641666667</v>
      </c>
      <c r="J28" s="15">
        <v>2</v>
      </c>
      <c r="K28" s="13">
        <v>124574341.1416665</v>
      </c>
      <c r="L28" s="13">
        <v>24160054.334999919</v>
      </c>
      <c r="M28" s="13">
        <v>13923781.584999919</v>
      </c>
      <c r="N28" s="179">
        <v>43647</v>
      </c>
      <c r="O28" s="16">
        <v>45839</v>
      </c>
      <c r="P28" s="13">
        <v>1523184.99</v>
      </c>
      <c r="Q28" s="222" t="e">
        <v>#VALUE!</v>
      </c>
    </row>
    <row r="29" spans="1:17" x14ac:dyDescent="0.2">
      <c r="A29" s="4" t="s">
        <v>45</v>
      </c>
      <c r="B29" s="13">
        <v>2041893568.29</v>
      </c>
      <c r="C29" s="13">
        <v>1912628326.4000001</v>
      </c>
      <c r="D29" s="13">
        <v>129265241.88999987</v>
      </c>
      <c r="E29" s="13">
        <v>40731791.600000001</v>
      </c>
      <c r="F29" s="13">
        <v>40828727</v>
      </c>
      <c r="G29" s="14">
        <v>3.17</v>
      </c>
      <c r="H29" s="14">
        <v>1</v>
      </c>
      <c r="I29" s="13">
        <v>3394315.9666666668</v>
      </c>
      <c r="J29" s="15">
        <v>8</v>
      </c>
      <c r="K29" s="13">
        <v>102110714.15666653</v>
      </c>
      <c r="L29" s="13">
        <v>5950973.4862499833</v>
      </c>
      <c r="M29" s="13">
        <v>3399178.0487499833</v>
      </c>
      <c r="N29" s="179">
        <v>43831</v>
      </c>
      <c r="O29" s="16">
        <v>46023</v>
      </c>
      <c r="P29" s="13">
        <v>5369429.2199999997</v>
      </c>
      <c r="Q29" s="222" t="e">
        <v>#VALUE!</v>
      </c>
    </row>
    <row r="30" spans="1:17" x14ac:dyDescent="0.2">
      <c r="A30" s="4" t="s">
        <v>43</v>
      </c>
      <c r="B30" s="13">
        <v>259883413</v>
      </c>
      <c r="C30" s="13">
        <v>242663745.78999999</v>
      </c>
      <c r="D30" s="13">
        <v>17219667.210000008</v>
      </c>
      <c r="E30" s="13">
        <v>7553895.8499999996</v>
      </c>
      <c r="F30" s="13">
        <v>5643956</v>
      </c>
      <c r="G30" s="14">
        <v>3.05</v>
      </c>
      <c r="H30" s="14">
        <v>1.34</v>
      </c>
      <c r="I30" s="13">
        <v>629491.3208333333</v>
      </c>
      <c r="J30" s="15">
        <v>8</v>
      </c>
      <c r="K30" s="13">
        <v>12183736.643333342</v>
      </c>
      <c r="L30" s="13">
        <v>741469.40125000104</v>
      </c>
      <c r="M30" s="13" t="s">
        <v>42</v>
      </c>
      <c r="N30" s="179">
        <v>43831</v>
      </c>
      <c r="O30" s="16">
        <v>46023</v>
      </c>
      <c r="P30" s="13">
        <v>550612.54</v>
      </c>
      <c r="Q30" s="222" t="e">
        <v>#VALUE!</v>
      </c>
    </row>
    <row r="31" spans="1:17" x14ac:dyDescent="0.2">
      <c r="A31" s="4" t="s">
        <v>56</v>
      </c>
      <c r="B31" s="13">
        <v>1182377479</v>
      </c>
      <c r="C31" s="13">
        <v>1099152642.3800001</v>
      </c>
      <c r="D31" s="13">
        <v>83224836.619999886</v>
      </c>
      <c r="E31" s="13">
        <v>20965791.510000002</v>
      </c>
      <c r="F31" s="13">
        <v>27472066</v>
      </c>
      <c r="G31" s="14">
        <v>3.03</v>
      </c>
      <c r="H31" s="14">
        <v>0.76</v>
      </c>
      <c r="I31" s="13">
        <v>1747149.2925000002</v>
      </c>
      <c r="J31" s="15">
        <v>2</v>
      </c>
      <c r="K31" s="13">
        <v>79730538.034999892</v>
      </c>
      <c r="L31" s="13">
        <v>14140352.309999943</v>
      </c>
      <c r="M31" s="13">
        <v>7272335.8099999428</v>
      </c>
      <c r="N31" s="179">
        <v>43647</v>
      </c>
      <c r="O31" s="16">
        <v>45839</v>
      </c>
      <c r="P31" s="13">
        <v>2452887.4900000002</v>
      </c>
      <c r="Q31" s="222" t="e">
        <v>#VALUE!</v>
      </c>
    </row>
    <row r="32" spans="1:17" x14ac:dyDescent="0.2">
      <c r="A32" s="4" t="s">
        <v>52</v>
      </c>
      <c r="B32" s="13">
        <v>535148479</v>
      </c>
      <c r="C32" s="13">
        <v>497949440.24000001</v>
      </c>
      <c r="D32" s="13">
        <v>37199038.75999999</v>
      </c>
      <c r="E32" s="13">
        <v>9682079.5199999996</v>
      </c>
      <c r="F32" s="13">
        <v>13099382</v>
      </c>
      <c r="G32" s="14">
        <v>2.84</v>
      </c>
      <c r="H32" s="14">
        <v>0.74</v>
      </c>
      <c r="I32" s="13">
        <v>806839.96</v>
      </c>
      <c r="J32" s="15">
        <v>2</v>
      </c>
      <c r="K32" s="13">
        <v>35585358.839999989</v>
      </c>
      <c r="L32" s="13">
        <v>5500137.3799999952</v>
      </c>
      <c r="M32" s="13">
        <v>2225291.8799999952</v>
      </c>
      <c r="N32" s="179">
        <v>43647</v>
      </c>
      <c r="O32" s="16">
        <v>45839</v>
      </c>
      <c r="P32" s="13">
        <v>698702.23</v>
      </c>
      <c r="Q32" s="222" t="e">
        <v>#VALUE!</v>
      </c>
    </row>
    <row r="33" spans="1:17" x14ac:dyDescent="0.2">
      <c r="A33" s="4" t="s">
        <v>40</v>
      </c>
      <c r="B33" s="13">
        <v>203184641.25</v>
      </c>
      <c r="C33" s="13">
        <v>187466693.44</v>
      </c>
      <c r="D33" s="13">
        <v>15717947.810000002</v>
      </c>
      <c r="E33" s="13">
        <v>7649985.2599999998</v>
      </c>
      <c r="F33" s="13">
        <v>5655134</v>
      </c>
      <c r="G33" s="14">
        <v>2.78</v>
      </c>
      <c r="H33" s="14">
        <v>1.35</v>
      </c>
      <c r="I33" s="13">
        <v>637498.77166666661</v>
      </c>
      <c r="J33" s="15">
        <v>2</v>
      </c>
      <c r="K33" s="13">
        <v>14442950.266666669</v>
      </c>
      <c r="L33" s="13">
        <v>2203839.9050000012</v>
      </c>
      <c r="M33" s="13">
        <v>790056.40500000119</v>
      </c>
      <c r="N33" s="179">
        <v>43647</v>
      </c>
      <c r="O33" s="16">
        <v>45839</v>
      </c>
      <c r="P33" s="13">
        <v>865942.88</v>
      </c>
      <c r="Q33" s="222" t="e">
        <v>#VALUE!</v>
      </c>
    </row>
    <row r="34" spans="1:17" x14ac:dyDescent="0.2">
      <c r="A34" s="4" t="s">
        <v>64</v>
      </c>
      <c r="B34" s="13">
        <v>355494147</v>
      </c>
      <c r="C34" s="13">
        <v>329374801.61000001</v>
      </c>
      <c r="D34" s="13">
        <v>26119345.389999986</v>
      </c>
      <c r="E34" s="13">
        <v>7673493.8899999997</v>
      </c>
      <c r="F34" s="13">
        <v>9435207</v>
      </c>
      <c r="G34" s="14">
        <v>2.77</v>
      </c>
      <c r="H34" s="14">
        <v>0.81</v>
      </c>
      <c r="I34" s="13">
        <v>639457.8241666666</v>
      </c>
      <c r="J34" s="15">
        <v>8</v>
      </c>
      <c r="K34" s="13">
        <v>21003682.796666652</v>
      </c>
      <c r="L34" s="13">
        <v>906116.42374999821</v>
      </c>
      <c r="M34" s="13" t="s">
        <v>42</v>
      </c>
      <c r="N34" s="179">
        <v>43831</v>
      </c>
      <c r="O34" s="16">
        <v>46023</v>
      </c>
      <c r="P34" s="13">
        <v>1233955.3400000001</v>
      </c>
      <c r="Q34" s="222" t="e">
        <v>#VALUE!</v>
      </c>
    </row>
    <row r="35" spans="1:17" x14ac:dyDescent="0.2">
      <c r="A35" s="4" t="s">
        <v>36</v>
      </c>
      <c r="B35" s="13">
        <v>392596167.93000001</v>
      </c>
      <c r="C35" s="13">
        <v>367137619.52999997</v>
      </c>
      <c r="D35" s="13">
        <v>25458548.400000036</v>
      </c>
      <c r="E35" s="13">
        <v>4952596.41</v>
      </c>
      <c r="F35" s="13">
        <v>9305817</v>
      </c>
      <c r="G35" s="14">
        <v>2.74</v>
      </c>
      <c r="H35" s="14">
        <v>0.53</v>
      </c>
      <c r="I35" s="13">
        <v>412716.36749999999</v>
      </c>
      <c r="J35" s="15">
        <v>0</v>
      </c>
      <c r="K35" s="13">
        <v>25458548.400000036</v>
      </c>
      <c r="L35" s="13" t="s">
        <v>20</v>
      </c>
      <c r="M35" s="13" t="s">
        <v>20</v>
      </c>
      <c r="N35" s="179">
        <v>43556</v>
      </c>
      <c r="O35" s="16">
        <v>45748</v>
      </c>
      <c r="P35" s="13">
        <v>515193.26</v>
      </c>
      <c r="Q35" s="222" t="e">
        <v>#VALUE!</v>
      </c>
    </row>
    <row r="36" spans="1:17" x14ac:dyDescent="0.2">
      <c r="A36" s="4" t="s">
        <v>63</v>
      </c>
      <c r="B36" s="13">
        <v>1340428223.5599999</v>
      </c>
      <c r="C36" s="13">
        <v>1256312082.76</v>
      </c>
      <c r="D36" s="13">
        <v>84116140.799999952</v>
      </c>
      <c r="E36" s="13">
        <v>21937402.09</v>
      </c>
      <c r="F36" s="13">
        <v>30689455</v>
      </c>
      <c r="G36" s="14">
        <v>2.74</v>
      </c>
      <c r="H36" s="14">
        <v>0.71</v>
      </c>
      <c r="I36" s="13">
        <v>1828116.8408333333</v>
      </c>
      <c r="J36" s="15">
        <v>2</v>
      </c>
      <c r="K36" s="13">
        <v>80459907.11833328</v>
      </c>
      <c r="L36" s="13">
        <v>11368615.399999976</v>
      </c>
      <c r="M36" s="13">
        <v>3696251.6499999762</v>
      </c>
      <c r="N36" s="179">
        <v>43647</v>
      </c>
      <c r="O36" s="16">
        <v>45839</v>
      </c>
      <c r="P36" s="13">
        <v>1897183.03</v>
      </c>
      <c r="Q36" s="222" t="e">
        <v>#VALUE!</v>
      </c>
    </row>
    <row r="37" spans="1:17" x14ac:dyDescent="0.2">
      <c r="A37" s="4" t="s">
        <v>53</v>
      </c>
      <c r="B37" s="13">
        <v>2950491414.54</v>
      </c>
      <c r="C37" s="13">
        <v>2756652945.9200001</v>
      </c>
      <c r="D37" s="13">
        <v>193838468.61999989</v>
      </c>
      <c r="E37" s="13">
        <v>62624373.590000004</v>
      </c>
      <c r="F37" s="13">
        <v>71178309</v>
      </c>
      <c r="G37" s="14">
        <v>2.72</v>
      </c>
      <c r="H37" s="14">
        <v>0.88</v>
      </c>
      <c r="I37" s="13">
        <v>5218697.7991666673</v>
      </c>
      <c r="J37" s="15">
        <v>4</v>
      </c>
      <c r="K37" s="13">
        <v>172963677.42333323</v>
      </c>
      <c r="L37" s="13">
        <v>12870462.654999971</v>
      </c>
      <c r="M37" s="13" t="s">
        <v>42</v>
      </c>
      <c r="N37" s="179">
        <v>44075</v>
      </c>
      <c r="O37" s="16">
        <v>45901</v>
      </c>
      <c r="P37" s="13">
        <v>4263438.99</v>
      </c>
      <c r="Q37" s="222" t="e">
        <v>#VALUE!</v>
      </c>
    </row>
    <row r="38" spans="1:17" x14ac:dyDescent="0.2">
      <c r="A38" s="4" t="s">
        <v>61</v>
      </c>
      <c r="B38" s="13">
        <v>1108314599.5</v>
      </c>
      <c r="C38" s="13">
        <v>1048232324.84</v>
      </c>
      <c r="D38" s="13">
        <v>60082274.659999967</v>
      </c>
      <c r="E38" s="13">
        <v>20815580.510000002</v>
      </c>
      <c r="F38" s="13">
        <v>23039495</v>
      </c>
      <c r="G38" s="14">
        <v>2.61</v>
      </c>
      <c r="H38" s="14">
        <v>0.9</v>
      </c>
      <c r="I38" s="13">
        <v>1734631.7091666667</v>
      </c>
      <c r="J38" s="15">
        <v>0</v>
      </c>
      <c r="K38" s="13">
        <v>60082274.659999967</v>
      </c>
      <c r="L38" s="13" t="s">
        <v>20</v>
      </c>
      <c r="M38" s="13" t="s">
        <v>20</v>
      </c>
      <c r="N38" s="179">
        <v>43556</v>
      </c>
      <c r="O38" s="16">
        <v>45748</v>
      </c>
      <c r="P38" s="13">
        <v>999887.69</v>
      </c>
      <c r="Q38" s="222" t="e">
        <v>#VALUE!</v>
      </c>
    </row>
    <row r="39" spans="1:17" x14ac:dyDescent="0.2">
      <c r="A39" s="4" t="s">
        <v>60</v>
      </c>
      <c r="B39" s="13">
        <v>351543186.45999998</v>
      </c>
      <c r="C39" s="13">
        <v>330007368.68000001</v>
      </c>
      <c r="D39" s="13">
        <v>21535817.779999971</v>
      </c>
      <c r="E39" s="13">
        <v>6542953.1799999997</v>
      </c>
      <c r="F39" s="13">
        <v>8658249</v>
      </c>
      <c r="G39" s="14">
        <v>2.4900000000000002</v>
      </c>
      <c r="H39" s="14">
        <v>0.76</v>
      </c>
      <c r="I39" s="13">
        <v>545246.09833333327</v>
      </c>
      <c r="J39" s="15">
        <v>0</v>
      </c>
      <c r="K39" s="13">
        <v>21535817.779999971</v>
      </c>
      <c r="L39" s="13" t="s">
        <v>20</v>
      </c>
      <c r="M39" s="13" t="s">
        <v>42</v>
      </c>
      <c r="N39" s="179">
        <v>43556</v>
      </c>
      <c r="O39" s="16">
        <v>45748</v>
      </c>
      <c r="P39" s="13">
        <v>823078.85</v>
      </c>
      <c r="Q39" s="222" t="e">
        <v>#VALUE!</v>
      </c>
    </row>
    <row r="40" spans="1:17" x14ac:dyDescent="0.2">
      <c r="A40" s="4" t="s">
        <v>58</v>
      </c>
      <c r="B40" s="13">
        <v>1227877221</v>
      </c>
      <c r="C40" s="13">
        <v>1171157935.6800001</v>
      </c>
      <c r="D40" s="13">
        <v>56719285.319999933</v>
      </c>
      <c r="E40" s="13">
        <v>20165974.300000001</v>
      </c>
      <c r="F40" s="13">
        <v>22761731</v>
      </c>
      <c r="G40" s="14">
        <v>2.4900000000000002</v>
      </c>
      <c r="H40" s="14">
        <v>0.89</v>
      </c>
      <c r="I40" s="13">
        <v>1680497.8583333334</v>
      </c>
      <c r="J40" s="15">
        <v>0</v>
      </c>
      <c r="K40" s="13">
        <v>56719285.319999933</v>
      </c>
      <c r="L40" s="13" t="s">
        <v>20</v>
      </c>
      <c r="M40" s="13" t="s">
        <v>42</v>
      </c>
      <c r="N40" s="179">
        <v>43922</v>
      </c>
      <c r="O40" s="16">
        <v>45748</v>
      </c>
      <c r="P40" s="13">
        <v>2030234.49</v>
      </c>
      <c r="Q40" s="222" t="e">
        <v>#VALUE!</v>
      </c>
    </row>
    <row r="41" spans="1:17" x14ac:dyDescent="0.2">
      <c r="A41" s="4" t="s">
        <v>59</v>
      </c>
      <c r="B41" s="13">
        <v>285086766</v>
      </c>
      <c r="C41" s="13">
        <v>267209557</v>
      </c>
      <c r="D41" s="13">
        <v>17877209</v>
      </c>
      <c r="E41" s="13">
        <v>8080379.4100000001</v>
      </c>
      <c r="F41" s="13">
        <v>7485780</v>
      </c>
      <c r="G41" s="14">
        <v>2.39</v>
      </c>
      <c r="H41" s="14">
        <v>1.08</v>
      </c>
      <c r="I41" s="13">
        <v>673364.95083333331</v>
      </c>
      <c r="J41" s="15">
        <v>2</v>
      </c>
      <c r="K41" s="13">
        <v>16530479.098333333</v>
      </c>
      <c r="L41" s="13">
        <v>1452824.5</v>
      </c>
      <c r="M41" s="13" t="s">
        <v>42</v>
      </c>
      <c r="N41" s="179">
        <v>43647</v>
      </c>
      <c r="O41" s="16">
        <v>45839</v>
      </c>
      <c r="P41" s="13">
        <v>566766</v>
      </c>
      <c r="Q41" s="222" t="e">
        <v>#VALUE!</v>
      </c>
    </row>
    <row r="42" spans="1:17" x14ac:dyDescent="0.2">
      <c r="A42" s="4" t="s">
        <v>29</v>
      </c>
      <c r="B42" s="13">
        <v>799406417.05999994</v>
      </c>
      <c r="C42" s="13">
        <v>759570732.89999998</v>
      </c>
      <c r="D42" s="13">
        <v>39835684.159999967</v>
      </c>
      <c r="E42" s="13">
        <v>27574220.059999999</v>
      </c>
      <c r="F42" s="13">
        <v>17480755</v>
      </c>
      <c r="G42" s="14">
        <v>2.2799999999999998</v>
      </c>
      <c r="H42" s="14">
        <v>1.58</v>
      </c>
      <c r="I42" s="13">
        <v>2297851.6716666664</v>
      </c>
      <c r="J42" s="15">
        <v>2</v>
      </c>
      <c r="K42" s="13">
        <v>35239980.816666633</v>
      </c>
      <c r="L42" s="13">
        <v>2437087.0799999833</v>
      </c>
      <c r="M42" s="13" t="s">
        <v>42</v>
      </c>
      <c r="N42" s="179">
        <v>43647</v>
      </c>
      <c r="O42" s="16">
        <v>45839</v>
      </c>
      <c r="P42" s="13">
        <v>1537866.5</v>
      </c>
      <c r="Q42" s="222" t="e">
        <v>#VALUE!</v>
      </c>
    </row>
    <row r="43" spans="1:17" x14ac:dyDescent="0.2">
      <c r="A43" s="4" t="s">
        <v>62</v>
      </c>
      <c r="B43" s="13">
        <v>699328036.19000006</v>
      </c>
      <c r="C43" s="13">
        <v>668913180.32000005</v>
      </c>
      <c r="D43" s="13">
        <v>30414855.870000005</v>
      </c>
      <c r="E43" s="13">
        <v>12638401.779999999</v>
      </c>
      <c r="F43" s="13">
        <v>14024709</v>
      </c>
      <c r="G43" s="14">
        <v>2.17</v>
      </c>
      <c r="H43" s="14">
        <v>0.9</v>
      </c>
      <c r="I43" s="13">
        <v>1053200.1483333332</v>
      </c>
      <c r="J43" s="15">
        <v>0</v>
      </c>
      <c r="K43" s="13">
        <v>30414855.870000005</v>
      </c>
      <c r="L43" s="13" t="s">
        <v>20</v>
      </c>
      <c r="M43" s="13" t="s">
        <v>42</v>
      </c>
      <c r="N43" s="179">
        <v>43922</v>
      </c>
      <c r="O43" s="16">
        <v>45748</v>
      </c>
      <c r="P43" s="13">
        <v>1791111.52</v>
      </c>
      <c r="Q43" s="222" t="e">
        <v>#VALUE!</v>
      </c>
    </row>
    <row r="44" spans="1:17" x14ac:dyDescent="0.2">
      <c r="A44" s="4" t="s">
        <v>48</v>
      </c>
      <c r="B44" s="13">
        <v>557171086.30999994</v>
      </c>
      <c r="C44" s="13">
        <v>531811649.91000003</v>
      </c>
      <c r="D44" s="13">
        <v>25359436.399999917</v>
      </c>
      <c r="E44" s="13">
        <v>16461069.6</v>
      </c>
      <c r="F44" s="13">
        <v>11761407</v>
      </c>
      <c r="G44" s="14">
        <v>2.16</v>
      </c>
      <c r="H44" s="14">
        <v>1.4</v>
      </c>
      <c r="I44" s="13">
        <v>1371755.8</v>
      </c>
      <c r="J44" s="15">
        <v>8</v>
      </c>
      <c r="K44" s="13">
        <v>14385389.999999916</v>
      </c>
      <c r="L44" s="13" t="s">
        <v>42</v>
      </c>
      <c r="M44" s="13" t="s">
        <v>42</v>
      </c>
      <c r="N44" s="179">
        <v>43831</v>
      </c>
      <c r="O44" s="16">
        <v>46023</v>
      </c>
      <c r="P44" s="13">
        <v>1341667.5</v>
      </c>
      <c r="Q44" s="222" t="e">
        <v>#VALUE!</v>
      </c>
    </row>
    <row r="45" spans="1:17" x14ac:dyDescent="0.2">
      <c r="A45" s="4" t="s">
        <v>54</v>
      </c>
      <c r="B45" s="13">
        <v>1428807757.99</v>
      </c>
      <c r="C45" s="13">
        <v>1354656677.8</v>
      </c>
      <c r="D45" s="13">
        <v>74151080.190000057</v>
      </c>
      <c r="E45" s="13">
        <v>48758488.219999999</v>
      </c>
      <c r="F45" s="13">
        <v>34424780</v>
      </c>
      <c r="G45" s="14">
        <v>2.15</v>
      </c>
      <c r="H45" s="14">
        <v>1.42</v>
      </c>
      <c r="I45" s="13">
        <v>4063207.3516666666</v>
      </c>
      <c r="J45" s="15">
        <v>0</v>
      </c>
      <c r="K45" s="13">
        <v>74151080.190000057</v>
      </c>
      <c r="L45" s="13" t="s">
        <v>20</v>
      </c>
      <c r="M45" s="13" t="s">
        <v>42</v>
      </c>
      <c r="N45" s="179">
        <v>43922</v>
      </c>
      <c r="O45" s="16">
        <v>45748</v>
      </c>
      <c r="P45" s="13">
        <v>2180460.39</v>
      </c>
      <c r="Q45" s="222" t="e">
        <v>#VALUE!</v>
      </c>
    </row>
    <row r="46" spans="1:17" x14ac:dyDescent="0.2">
      <c r="A46" s="4" t="s">
        <v>66</v>
      </c>
      <c r="B46" s="13">
        <v>1985336227.8699999</v>
      </c>
      <c r="C46" s="13">
        <v>1888405026.3099999</v>
      </c>
      <c r="D46" s="13">
        <v>96931201.559999943</v>
      </c>
      <c r="E46" s="13">
        <v>42422658.079999998</v>
      </c>
      <c r="F46" s="13">
        <v>45588088</v>
      </c>
      <c r="G46" s="14">
        <v>2.13</v>
      </c>
      <c r="H46" s="14">
        <v>0.93</v>
      </c>
      <c r="I46" s="13">
        <v>3535221.5066666664</v>
      </c>
      <c r="J46" s="15">
        <v>2</v>
      </c>
      <c r="K46" s="13">
        <v>89860758.546666607</v>
      </c>
      <c r="L46" s="13" t="s">
        <v>42</v>
      </c>
      <c r="M46" s="13" t="s">
        <v>42</v>
      </c>
      <c r="N46" s="179">
        <v>43647</v>
      </c>
      <c r="O46" s="16">
        <v>45839</v>
      </c>
      <c r="P46" s="13">
        <v>3646356.29</v>
      </c>
      <c r="Q46" s="222" t="e">
        <v>#VALUE!</v>
      </c>
    </row>
    <row r="47" spans="1:17" x14ac:dyDescent="0.2">
      <c r="A47" s="4" t="s">
        <v>67</v>
      </c>
      <c r="B47" s="13">
        <v>1110426785</v>
      </c>
      <c r="C47" s="13">
        <v>1052613383.5599999</v>
      </c>
      <c r="D47" s="13">
        <v>57813401.440000057</v>
      </c>
      <c r="E47" s="13">
        <v>20730806.940000001</v>
      </c>
      <c r="F47" s="13">
        <v>27485501</v>
      </c>
      <c r="G47" s="14">
        <v>2.1</v>
      </c>
      <c r="H47" s="14">
        <v>0.75</v>
      </c>
      <c r="I47" s="13">
        <v>1727567.2450000001</v>
      </c>
      <c r="J47" s="15">
        <v>0</v>
      </c>
      <c r="K47" s="13">
        <v>57813401.440000057</v>
      </c>
      <c r="L47" s="13" t="s">
        <v>20</v>
      </c>
      <c r="M47" s="13" t="s">
        <v>42</v>
      </c>
      <c r="N47" s="179">
        <v>43922</v>
      </c>
      <c r="O47" s="16">
        <v>45748</v>
      </c>
      <c r="P47" s="13">
        <v>0</v>
      </c>
      <c r="Q47" s="222" t="e">
        <v>#VALUE!</v>
      </c>
    </row>
    <row r="48" spans="1:17" x14ac:dyDescent="0.2">
      <c r="A48" s="4" t="s">
        <v>57</v>
      </c>
      <c r="B48" s="13">
        <v>101611843</v>
      </c>
      <c r="C48" s="13">
        <v>95519498.079999998</v>
      </c>
      <c r="D48" s="13">
        <v>6092344.9200000018</v>
      </c>
      <c r="E48" s="13">
        <v>3012059.48</v>
      </c>
      <c r="F48" s="13">
        <v>2910779</v>
      </c>
      <c r="G48" s="14">
        <v>2.09</v>
      </c>
      <c r="H48" s="14">
        <v>1.03</v>
      </c>
      <c r="I48" s="13">
        <v>251004.95666666667</v>
      </c>
      <c r="J48" s="15">
        <v>2</v>
      </c>
      <c r="K48" s="13">
        <v>5590335.0066666687</v>
      </c>
      <c r="L48" s="13" t="s">
        <v>42</v>
      </c>
      <c r="M48" s="13" t="s">
        <v>42</v>
      </c>
      <c r="N48" s="179">
        <v>43647</v>
      </c>
      <c r="O48" s="16">
        <v>45839</v>
      </c>
      <c r="P48" s="13">
        <v>332432.57</v>
      </c>
      <c r="Q48" s="222" t="e">
        <v>#VALUE!</v>
      </c>
    </row>
    <row r="49" spans="1:17" x14ac:dyDescent="0.2">
      <c r="A49" s="4" t="s">
        <v>68</v>
      </c>
      <c r="B49" s="13">
        <v>509113932</v>
      </c>
      <c r="C49" s="13">
        <v>485310680.99000001</v>
      </c>
      <c r="D49" s="13">
        <v>23803251.00999999</v>
      </c>
      <c r="E49" s="13">
        <v>10929657.48</v>
      </c>
      <c r="F49" s="13">
        <v>11867952</v>
      </c>
      <c r="G49" s="14">
        <v>2.0099999999999998</v>
      </c>
      <c r="H49" s="14">
        <v>0.92</v>
      </c>
      <c r="I49" s="13">
        <v>910804.79</v>
      </c>
      <c r="J49" s="15">
        <v>8</v>
      </c>
      <c r="K49" s="13">
        <v>16516812.68999999</v>
      </c>
      <c r="L49" s="13" t="s">
        <v>42</v>
      </c>
      <c r="M49" s="13" t="s">
        <v>42</v>
      </c>
      <c r="N49" s="179">
        <v>43831</v>
      </c>
      <c r="O49" s="16">
        <v>46023</v>
      </c>
      <c r="P49" s="13">
        <v>871180.86</v>
      </c>
      <c r="Q49" s="222" t="e">
        <v>#VALUE!</v>
      </c>
    </row>
    <row r="50" spans="1:17" x14ac:dyDescent="0.2">
      <c r="A50" s="4" t="s">
        <v>65</v>
      </c>
      <c r="B50" s="13">
        <v>398824318</v>
      </c>
      <c r="C50" s="13">
        <v>380220254.10000002</v>
      </c>
      <c r="D50" s="13">
        <v>18604063.899999976</v>
      </c>
      <c r="E50" s="13">
        <v>10912533.34</v>
      </c>
      <c r="F50" s="13">
        <v>9664284</v>
      </c>
      <c r="G50" s="14">
        <v>1.93</v>
      </c>
      <c r="H50" s="14">
        <v>1.1299999999999999</v>
      </c>
      <c r="I50" s="13">
        <v>909377.77833333332</v>
      </c>
      <c r="J50" s="15">
        <v>2</v>
      </c>
      <c r="K50" s="13">
        <v>16785308.343333311</v>
      </c>
      <c r="L50" s="13" t="s">
        <v>42</v>
      </c>
      <c r="M50" s="13" t="s">
        <v>42</v>
      </c>
      <c r="N50" s="179">
        <v>43647</v>
      </c>
      <c r="O50" s="16">
        <v>45839</v>
      </c>
      <c r="P50" s="13">
        <v>887148.52</v>
      </c>
      <c r="Q50" s="222" t="e">
        <v>#VALUE!</v>
      </c>
    </row>
    <row r="51" spans="1:17" x14ac:dyDescent="0.2">
      <c r="A51" s="4" t="s">
        <v>69</v>
      </c>
      <c r="B51" s="13">
        <v>243764651</v>
      </c>
      <c r="C51" s="13">
        <v>234173526.93000001</v>
      </c>
      <c r="D51" s="13">
        <v>9591124.0699999928</v>
      </c>
      <c r="E51" s="13">
        <v>4915897.5199999996</v>
      </c>
      <c r="F51" s="13">
        <v>5561418</v>
      </c>
      <c r="G51" s="14">
        <v>1.72</v>
      </c>
      <c r="H51" s="14">
        <v>0.88</v>
      </c>
      <c r="I51" s="13">
        <v>409658.12666666665</v>
      </c>
      <c r="J51" s="15">
        <v>2</v>
      </c>
      <c r="K51" s="13">
        <v>8771807.816666659</v>
      </c>
      <c r="L51" s="13" t="s">
        <v>42</v>
      </c>
      <c r="M51" s="13" t="s">
        <v>42</v>
      </c>
      <c r="N51" s="179">
        <v>43647</v>
      </c>
      <c r="O51" s="16">
        <v>45839</v>
      </c>
      <c r="P51" s="13">
        <v>114566.97</v>
      </c>
      <c r="Q51" s="222" t="e">
        <v>#VALUE!</v>
      </c>
    </row>
    <row r="52" spans="1:17" x14ac:dyDescent="0.2">
      <c r="A52" s="4" t="s">
        <v>70</v>
      </c>
      <c r="B52" s="13">
        <v>78247436</v>
      </c>
      <c r="C52" s="13">
        <v>74501453.569999993</v>
      </c>
      <c r="D52" s="18">
        <v>3745982.4300000072</v>
      </c>
      <c r="E52" s="13">
        <v>2681222.7200000002</v>
      </c>
      <c r="F52" s="13">
        <v>2776815</v>
      </c>
      <c r="G52" s="14">
        <v>1.35</v>
      </c>
      <c r="H52" s="14">
        <v>0.97</v>
      </c>
      <c r="I52" s="18">
        <v>223435.22666666668</v>
      </c>
      <c r="J52" s="15">
        <v>2</v>
      </c>
      <c r="K52" s="18">
        <v>3299111.976666674</v>
      </c>
      <c r="L52" s="18" t="s">
        <v>42</v>
      </c>
      <c r="M52" s="18" t="s">
        <v>42</v>
      </c>
      <c r="N52" s="180">
        <v>43647</v>
      </c>
      <c r="O52" s="16">
        <v>45839</v>
      </c>
      <c r="P52" s="13">
        <v>285305.73</v>
      </c>
      <c r="Q52" s="222" t="e">
        <v>#VALUE!</v>
      </c>
    </row>
    <row r="53" spans="1:17" x14ac:dyDescent="0.25">
      <c r="A53" s="34" t="s">
        <v>71</v>
      </c>
      <c r="B53" s="31">
        <v>44003498105.440002</v>
      </c>
      <c r="C53" s="13">
        <v>40691721068.349998</v>
      </c>
      <c r="D53" s="31">
        <v>3311777037.090004</v>
      </c>
      <c r="E53" s="13">
        <v>926399831.60000002</v>
      </c>
      <c r="F53" s="13">
        <v>983304245</v>
      </c>
      <c r="G53" s="14">
        <v>3.37</v>
      </c>
      <c r="H53" s="14">
        <v>0.94</v>
      </c>
      <c r="I53" s="31">
        <v>77199985.966666669</v>
      </c>
      <c r="J53" s="32"/>
      <c r="K53" s="33"/>
      <c r="L53" s="33"/>
      <c r="M53" s="33"/>
      <c r="N53" s="33"/>
      <c r="O53" s="33"/>
      <c r="P53" s="31">
        <v>79856473.049999982</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36</v>
      </c>
      <c r="H56" s="25"/>
    </row>
    <row r="57" spans="1:17" ht="27" customHeight="1" thickBot="1" x14ac:dyDescent="0.3">
      <c r="D57" s="228" t="s">
        <v>73</v>
      </c>
      <c r="E57" s="229"/>
      <c r="F57" s="229"/>
      <c r="G57" s="27"/>
      <c r="H57" s="28">
        <v>32</v>
      </c>
    </row>
  </sheetData>
  <mergeCells count="2">
    <mergeCell ref="D56:F56"/>
    <mergeCell ref="D57:F57"/>
  </mergeCells>
  <conditionalFormatting sqref="G54">
    <cfRule type="cellIs" dxfId="111" priority="13" stopIfTrue="1" operator="greaterThan">
      <formula>2.5</formula>
    </cfRule>
    <cfRule type="cellIs" dxfId="110" priority="14" stopIfTrue="1" operator="between">
      <formula>2.01</formula>
      <formula>2.5</formula>
    </cfRule>
  </conditionalFormatting>
  <conditionalFormatting sqref="H3:H53">
    <cfRule type="cellIs" dxfId="109" priority="12" stopIfTrue="1" operator="lessThan">
      <formula>1</formula>
    </cfRule>
  </conditionalFormatting>
  <conditionalFormatting sqref="G3:G53">
    <cfRule type="cellIs" dxfId="108" priority="10" stopIfTrue="1" operator="greaterThan">
      <formula>2.5</formula>
    </cfRule>
    <cfRule type="cellIs" dxfId="107" priority="11" stopIfTrue="1" operator="between">
      <formula>2.01</formula>
      <formula>2.5</formula>
    </cfRule>
  </conditionalFormatting>
  <conditionalFormatting sqref="K3:K52">
    <cfRule type="cellIs" dxfId="106" priority="8" stopIfTrue="1" operator="greaterThan">
      <formula>$F3*2.5</formula>
    </cfRule>
    <cfRule type="cellIs" dxfId="105" priority="9" stopIfTrue="1" operator="between">
      <formula>$F3*2</formula>
      <formula>$F3*2.5</formula>
    </cfRule>
  </conditionalFormatting>
  <conditionalFormatting sqref="G54">
    <cfRule type="cellIs" dxfId="104" priority="6" stopIfTrue="1" operator="greaterThan">
      <formula>2.5</formula>
    </cfRule>
    <cfRule type="cellIs" dxfId="103" priority="7" stopIfTrue="1" operator="between">
      <formula>2.01</formula>
      <formula>2.5</formula>
    </cfRule>
  </conditionalFormatting>
  <conditionalFormatting sqref="H3:H53">
    <cfRule type="cellIs" dxfId="102" priority="5" stopIfTrue="1" operator="lessThan">
      <formula>1</formula>
    </cfRule>
  </conditionalFormatting>
  <conditionalFormatting sqref="G3:G53">
    <cfRule type="cellIs" dxfId="101" priority="3" stopIfTrue="1" operator="greaterThan">
      <formula>2.5</formula>
    </cfRule>
    <cfRule type="cellIs" dxfId="100" priority="4" stopIfTrue="1" operator="between">
      <formula>2.01</formula>
      <formula>2.5</formula>
    </cfRule>
  </conditionalFormatting>
  <conditionalFormatting sqref="K3:K52">
    <cfRule type="cellIs" dxfId="99" priority="1" stopIfTrue="1" operator="greaterThan">
      <formula>$F3*2.5</formula>
    </cfRule>
    <cfRule type="cellIs" dxfId="98"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1EAA-6C31-4695-9020-83B50029B7DA}">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116</v>
      </c>
      <c r="B1" s="178" t="s">
        <v>117</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1161972037.8499999</v>
      </c>
      <c r="C3" s="13">
        <v>1008314101.02</v>
      </c>
      <c r="D3" s="13">
        <v>153657936.82999992</v>
      </c>
      <c r="E3" s="13">
        <v>22983329.920000002</v>
      </c>
      <c r="F3" s="13">
        <v>24581601</v>
      </c>
      <c r="G3" s="14">
        <v>6.25</v>
      </c>
      <c r="H3" s="14">
        <v>0.93</v>
      </c>
      <c r="I3" s="13">
        <v>1915277.4933333334</v>
      </c>
      <c r="J3" s="15">
        <v>1</v>
      </c>
      <c r="K3" s="13">
        <v>151742659.33666658</v>
      </c>
      <c r="L3" s="13">
        <v>104494734.82999992</v>
      </c>
      <c r="M3" s="13">
        <v>92203934.329999924</v>
      </c>
      <c r="N3" s="179">
        <v>43647</v>
      </c>
      <c r="O3" s="16">
        <v>45839</v>
      </c>
      <c r="P3" s="13">
        <v>434083.82</v>
      </c>
      <c r="Q3" s="223" t="e">
        <v>#VALUE!</v>
      </c>
    </row>
    <row r="4" spans="1:17" x14ac:dyDescent="0.2">
      <c r="A4" s="4" t="s">
        <v>22</v>
      </c>
      <c r="B4" s="13">
        <v>722479384.32000005</v>
      </c>
      <c r="C4" s="13">
        <v>646363681.32000005</v>
      </c>
      <c r="D4" s="13">
        <v>76115703</v>
      </c>
      <c r="E4" s="13">
        <v>11361399.140000001</v>
      </c>
      <c r="F4" s="13">
        <v>13783001</v>
      </c>
      <c r="G4" s="14">
        <v>5.52</v>
      </c>
      <c r="H4" s="14">
        <v>0.82</v>
      </c>
      <c r="I4" s="13">
        <v>946783.26166666672</v>
      </c>
      <c r="J4" s="15">
        <v>1</v>
      </c>
      <c r="K4" s="13">
        <v>75168919.73833333</v>
      </c>
      <c r="L4" s="13">
        <v>48549701</v>
      </c>
      <c r="M4" s="13">
        <v>41658200.5</v>
      </c>
      <c r="N4" s="179">
        <v>43647</v>
      </c>
      <c r="O4" s="16">
        <v>45839</v>
      </c>
      <c r="P4" s="13">
        <v>569194.9</v>
      </c>
      <c r="Q4" s="222" t="e">
        <v>#VALUE!</v>
      </c>
    </row>
    <row r="5" spans="1:17" x14ac:dyDescent="0.2">
      <c r="A5" s="4" t="s">
        <v>21</v>
      </c>
      <c r="B5" s="13">
        <v>1834758280.3599999</v>
      </c>
      <c r="C5" s="13">
        <v>1583077837.5999999</v>
      </c>
      <c r="D5" s="13">
        <v>251680442.75999999</v>
      </c>
      <c r="E5" s="13">
        <v>41217477.509999998</v>
      </c>
      <c r="F5" s="13">
        <v>46162390</v>
      </c>
      <c r="G5" s="14">
        <v>5.45</v>
      </c>
      <c r="H5" s="14">
        <v>0.89</v>
      </c>
      <c r="I5" s="13">
        <v>3434789.7925</v>
      </c>
      <c r="J5" s="15">
        <v>7</v>
      </c>
      <c r="K5" s="13">
        <v>227636914.21249998</v>
      </c>
      <c r="L5" s="13">
        <v>22765094.68</v>
      </c>
      <c r="M5" s="13">
        <v>19467781.108571429</v>
      </c>
      <c r="N5" s="179">
        <v>43831</v>
      </c>
      <c r="O5" s="16">
        <v>46023</v>
      </c>
      <c r="P5" s="13">
        <v>5793130</v>
      </c>
      <c r="Q5" s="222" t="e">
        <v>#VALUE!</v>
      </c>
    </row>
    <row r="6" spans="1:17" x14ac:dyDescent="0.2">
      <c r="A6" s="4" t="s">
        <v>24</v>
      </c>
      <c r="B6" s="13">
        <v>1503333344.97</v>
      </c>
      <c r="C6" s="13">
        <v>1320580822.46</v>
      </c>
      <c r="D6" s="13">
        <v>182752522.50999999</v>
      </c>
      <c r="E6" s="13">
        <v>24643373.66</v>
      </c>
      <c r="F6" s="13">
        <v>34090474</v>
      </c>
      <c r="G6" s="14">
        <v>5.36</v>
      </c>
      <c r="H6" s="14">
        <v>0.72</v>
      </c>
      <c r="I6" s="13">
        <v>2053614.4716666667</v>
      </c>
      <c r="J6" s="15">
        <v>1</v>
      </c>
      <c r="K6" s="13">
        <v>180698908.03833333</v>
      </c>
      <c r="L6" s="13">
        <v>114571574.50999999</v>
      </c>
      <c r="M6" s="13">
        <v>97526337.50999999</v>
      </c>
      <c r="N6" s="179">
        <v>43647</v>
      </c>
      <c r="O6" s="16">
        <v>45839</v>
      </c>
      <c r="P6" s="13">
        <v>1851094.35</v>
      </c>
      <c r="Q6" s="222" t="e">
        <v>#VALUE!</v>
      </c>
    </row>
    <row r="7" spans="1:17" x14ac:dyDescent="0.2">
      <c r="A7" s="4" t="s">
        <v>31</v>
      </c>
      <c r="B7" s="13">
        <v>504504813</v>
      </c>
      <c r="C7" s="13">
        <v>458349733.87</v>
      </c>
      <c r="D7" s="13">
        <v>46155079.129999995</v>
      </c>
      <c r="E7" s="13">
        <v>11347986.83</v>
      </c>
      <c r="F7" s="13">
        <v>10946097</v>
      </c>
      <c r="G7" s="14">
        <v>4.22</v>
      </c>
      <c r="H7" s="14">
        <v>1.04</v>
      </c>
      <c r="I7" s="13">
        <v>945665.56916666671</v>
      </c>
      <c r="J7" s="15">
        <v>7</v>
      </c>
      <c r="K7" s="13">
        <v>39535420.145833328</v>
      </c>
      <c r="L7" s="13">
        <v>3466126.4471428567</v>
      </c>
      <c r="M7" s="13">
        <v>2684262.3757142848</v>
      </c>
      <c r="N7" s="179">
        <v>43831</v>
      </c>
      <c r="O7" s="16">
        <v>46023</v>
      </c>
      <c r="P7" s="13">
        <v>815530.67</v>
      </c>
      <c r="Q7" s="222" t="e">
        <v>#VALUE!</v>
      </c>
    </row>
    <row r="8" spans="1:17" x14ac:dyDescent="0.2">
      <c r="A8" s="4" t="s">
        <v>26</v>
      </c>
      <c r="B8" s="13">
        <v>124445693.39</v>
      </c>
      <c r="C8" s="13">
        <v>109537848.05</v>
      </c>
      <c r="D8" s="13">
        <v>14907845.340000004</v>
      </c>
      <c r="E8" s="13">
        <v>5092785.7699999996</v>
      </c>
      <c r="F8" s="13">
        <v>3545933</v>
      </c>
      <c r="G8" s="14">
        <v>4.2</v>
      </c>
      <c r="H8" s="14">
        <v>1.44</v>
      </c>
      <c r="I8" s="13">
        <v>424398.81416666665</v>
      </c>
      <c r="J8" s="15">
        <v>7</v>
      </c>
      <c r="K8" s="13">
        <v>11937053.640833337</v>
      </c>
      <c r="L8" s="13">
        <v>1116568.4771428576</v>
      </c>
      <c r="M8" s="13">
        <v>863287.5485714291</v>
      </c>
      <c r="N8" s="179">
        <v>43831</v>
      </c>
      <c r="O8" s="16">
        <v>46023</v>
      </c>
      <c r="P8" s="13">
        <v>232577.73</v>
      </c>
      <c r="Q8" s="222" t="e">
        <v>#VALUE!</v>
      </c>
    </row>
    <row r="9" spans="1:17" x14ac:dyDescent="0.2">
      <c r="A9" s="4" t="s">
        <v>27</v>
      </c>
      <c r="B9" s="13">
        <v>872347192</v>
      </c>
      <c r="C9" s="13">
        <v>792762638.57000005</v>
      </c>
      <c r="D9" s="13">
        <v>79584553.429999948</v>
      </c>
      <c r="E9" s="13">
        <v>16803870.059999999</v>
      </c>
      <c r="F9" s="13">
        <v>19090913</v>
      </c>
      <c r="G9" s="14">
        <v>4.17</v>
      </c>
      <c r="H9" s="14">
        <v>0.88</v>
      </c>
      <c r="I9" s="13">
        <v>1400322.5049999999</v>
      </c>
      <c r="J9" s="15">
        <v>4</v>
      </c>
      <c r="K9" s="13">
        <v>73983263.409999952</v>
      </c>
      <c r="L9" s="13">
        <v>10350681.857499987</v>
      </c>
      <c r="M9" s="13">
        <v>7964317.7324999869</v>
      </c>
      <c r="N9" s="179">
        <v>43739</v>
      </c>
      <c r="O9" s="16">
        <v>45931</v>
      </c>
      <c r="P9" s="13">
        <v>732440.99</v>
      </c>
      <c r="Q9" s="222" t="e">
        <v>#VALUE!</v>
      </c>
    </row>
    <row r="10" spans="1:17" x14ac:dyDescent="0.2">
      <c r="A10" s="4" t="s">
        <v>28</v>
      </c>
      <c r="B10" s="13">
        <v>1966895481</v>
      </c>
      <c r="C10" s="13">
        <v>1876944112.21</v>
      </c>
      <c r="D10" s="13">
        <v>89951368.789999962</v>
      </c>
      <c r="E10" s="13">
        <v>22094308.800000001</v>
      </c>
      <c r="F10" s="13">
        <v>21788490</v>
      </c>
      <c r="G10" s="14">
        <v>4.13</v>
      </c>
      <c r="H10" s="14">
        <v>1.01</v>
      </c>
      <c r="I10" s="13">
        <v>1841192.4000000001</v>
      </c>
      <c r="J10" s="15">
        <v>1</v>
      </c>
      <c r="K10" s="13">
        <v>88110176.389999956</v>
      </c>
      <c r="L10" s="13">
        <v>46374388.789999962</v>
      </c>
      <c r="M10" s="13">
        <v>35480143.789999962</v>
      </c>
      <c r="N10" s="179">
        <v>43647</v>
      </c>
      <c r="O10" s="16">
        <v>45839</v>
      </c>
      <c r="P10" s="13">
        <v>1948643.13</v>
      </c>
      <c r="Q10" s="222" t="e">
        <v>#VALUE!</v>
      </c>
    </row>
    <row r="11" spans="1:17" x14ac:dyDescent="0.2">
      <c r="A11" s="4" t="s">
        <v>35</v>
      </c>
      <c r="B11" s="13">
        <v>813673223</v>
      </c>
      <c r="C11" s="13">
        <v>733318218.15999997</v>
      </c>
      <c r="D11" s="13">
        <v>80355004.840000033</v>
      </c>
      <c r="E11" s="13">
        <v>11719478.859999999</v>
      </c>
      <c r="F11" s="13">
        <v>19453948</v>
      </c>
      <c r="G11" s="14">
        <v>4.13</v>
      </c>
      <c r="H11" s="14">
        <v>0.6</v>
      </c>
      <c r="I11" s="13">
        <v>976623.23833333328</v>
      </c>
      <c r="J11" s="15">
        <v>1</v>
      </c>
      <c r="K11" s="13">
        <v>79378381.601666704</v>
      </c>
      <c r="L11" s="13">
        <v>41447108.840000033</v>
      </c>
      <c r="M11" s="13">
        <v>31720134.840000033</v>
      </c>
      <c r="N11" s="179">
        <v>43647</v>
      </c>
      <c r="O11" s="16">
        <v>45839</v>
      </c>
      <c r="P11" s="13">
        <v>937774.11</v>
      </c>
      <c r="Q11" s="222" t="e">
        <v>#VALUE!</v>
      </c>
    </row>
    <row r="12" spans="1:17" x14ac:dyDescent="0.2">
      <c r="A12" s="4" t="s">
        <v>32</v>
      </c>
      <c r="B12" s="13">
        <v>1194714205.73</v>
      </c>
      <c r="C12" s="13">
        <v>1085140387.95</v>
      </c>
      <c r="D12" s="13">
        <v>109573817.77999997</v>
      </c>
      <c r="E12" s="13">
        <v>21712297.530000001</v>
      </c>
      <c r="F12" s="13">
        <v>26571929</v>
      </c>
      <c r="G12" s="14">
        <v>4.12</v>
      </c>
      <c r="H12" s="14">
        <v>0.82</v>
      </c>
      <c r="I12" s="13">
        <v>1809358.1275000002</v>
      </c>
      <c r="J12" s="15">
        <v>1</v>
      </c>
      <c r="K12" s="13">
        <v>107764459.65249997</v>
      </c>
      <c r="L12" s="13">
        <v>56429959.779999971</v>
      </c>
      <c r="M12" s="13">
        <v>43143995.279999971</v>
      </c>
      <c r="N12" s="179">
        <v>43647</v>
      </c>
      <c r="O12" s="16">
        <v>45839</v>
      </c>
      <c r="P12" s="13">
        <v>1735726</v>
      </c>
      <c r="Q12" s="222" t="e">
        <v>#VALUE!</v>
      </c>
    </row>
    <row r="13" spans="1:17" x14ac:dyDescent="0.2">
      <c r="A13" s="4" t="s">
        <v>23</v>
      </c>
      <c r="B13" s="13">
        <v>1365257298.0599999</v>
      </c>
      <c r="C13" s="13">
        <v>1246295807.6099999</v>
      </c>
      <c r="D13" s="13">
        <v>118961490.45000005</v>
      </c>
      <c r="E13" s="13">
        <v>56731255.200000003</v>
      </c>
      <c r="F13" s="13">
        <v>28988172</v>
      </c>
      <c r="G13" s="14">
        <v>4.0999999999999996</v>
      </c>
      <c r="H13" s="14">
        <v>1.96</v>
      </c>
      <c r="I13" s="13">
        <v>4727604.6000000006</v>
      </c>
      <c r="J13" s="15">
        <v>7</v>
      </c>
      <c r="K13" s="13">
        <v>85868258.250000045</v>
      </c>
      <c r="L13" s="13">
        <v>8712163.7785714362</v>
      </c>
      <c r="M13" s="13">
        <v>6641580.0642857207</v>
      </c>
      <c r="N13" s="179">
        <v>43831</v>
      </c>
      <c r="O13" s="16">
        <v>46023</v>
      </c>
      <c r="P13" s="13">
        <v>3917295.62</v>
      </c>
      <c r="Q13" s="222" t="e">
        <v>#VALUE!</v>
      </c>
    </row>
    <row r="14" spans="1:17" x14ac:dyDescent="0.2">
      <c r="A14" s="4" t="s">
        <v>39</v>
      </c>
      <c r="B14" s="13">
        <v>511163315.91000003</v>
      </c>
      <c r="C14" s="13">
        <v>467774989.91000003</v>
      </c>
      <c r="D14" s="13">
        <v>43388326</v>
      </c>
      <c r="E14" s="13">
        <v>6643398.71</v>
      </c>
      <c r="F14" s="13">
        <v>10598087</v>
      </c>
      <c r="G14" s="14">
        <v>4.09</v>
      </c>
      <c r="H14" s="14">
        <v>0.63</v>
      </c>
      <c r="I14" s="13">
        <v>553616.5591666667</v>
      </c>
      <c r="J14" s="15">
        <v>1</v>
      </c>
      <c r="K14" s="13">
        <v>42834709.44083333</v>
      </c>
      <c r="L14" s="13">
        <v>22192152</v>
      </c>
      <c r="M14" s="13">
        <v>16893108.5</v>
      </c>
      <c r="N14" s="179">
        <v>43647</v>
      </c>
      <c r="O14" s="16">
        <v>45839</v>
      </c>
      <c r="P14" s="13">
        <v>438618.37</v>
      </c>
      <c r="Q14" s="222" t="e">
        <v>#VALUE!</v>
      </c>
    </row>
    <row r="15" spans="1:17" x14ac:dyDescent="0.2">
      <c r="A15" s="4" t="s">
        <v>25</v>
      </c>
      <c r="B15" s="13">
        <v>271317340</v>
      </c>
      <c r="C15" s="13">
        <v>247684134.75999999</v>
      </c>
      <c r="D15" s="13">
        <v>23633205.24000001</v>
      </c>
      <c r="E15" s="13">
        <v>7918059.7400000002</v>
      </c>
      <c r="F15" s="13">
        <v>6196840</v>
      </c>
      <c r="G15" s="14">
        <v>3.81</v>
      </c>
      <c r="H15" s="14">
        <v>1.28</v>
      </c>
      <c r="I15" s="13">
        <v>659838.31166666665</v>
      </c>
      <c r="J15" s="15">
        <v>0</v>
      </c>
      <c r="K15" s="13">
        <v>23633205.24000001</v>
      </c>
      <c r="L15" s="13" t="s">
        <v>20</v>
      </c>
      <c r="M15" s="13" t="s">
        <v>20</v>
      </c>
      <c r="N15" s="179">
        <v>43922</v>
      </c>
      <c r="O15" s="16">
        <v>45748</v>
      </c>
      <c r="P15" s="13">
        <v>399637.92</v>
      </c>
      <c r="Q15" s="222" t="e">
        <v>#VALUE!</v>
      </c>
    </row>
    <row r="16" spans="1:17" x14ac:dyDescent="0.2">
      <c r="A16" s="4" t="s">
        <v>40</v>
      </c>
      <c r="B16" s="13">
        <v>208940278.25</v>
      </c>
      <c r="C16" s="13">
        <v>187649626.08000001</v>
      </c>
      <c r="D16" s="13">
        <v>21290652.169999987</v>
      </c>
      <c r="E16" s="13">
        <v>7885096.2599999998</v>
      </c>
      <c r="F16" s="13">
        <v>5755637</v>
      </c>
      <c r="G16" s="14">
        <v>3.7</v>
      </c>
      <c r="H16" s="14">
        <v>1.37</v>
      </c>
      <c r="I16" s="13">
        <v>657091.35499999998</v>
      </c>
      <c r="J16" s="15">
        <v>1</v>
      </c>
      <c r="K16" s="13">
        <v>20633560.814999986</v>
      </c>
      <c r="L16" s="13">
        <v>9779378.1699999869</v>
      </c>
      <c r="M16" s="13">
        <v>6901559.6699999869</v>
      </c>
      <c r="N16" s="179">
        <v>43647</v>
      </c>
      <c r="O16" s="16">
        <v>45839</v>
      </c>
      <c r="P16" s="13">
        <v>182932.64</v>
      </c>
      <c r="Q16" s="222" t="e">
        <v>#VALUE!</v>
      </c>
    </row>
    <row r="17" spans="1:17" x14ac:dyDescent="0.2">
      <c r="A17" s="4" t="s">
        <v>47</v>
      </c>
      <c r="B17" s="13">
        <v>107063879</v>
      </c>
      <c r="C17" s="13">
        <v>97232434.659999996</v>
      </c>
      <c r="D17" s="13">
        <v>9831444.3400000036</v>
      </c>
      <c r="E17" s="13">
        <v>2154693.7999999998</v>
      </c>
      <c r="F17" s="13">
        <v>2669761</v>
      </c>
      <c r="G17" s="14">
        <v>3.68</v>
      </c>
      <c r="H17" s="14">
        <v>0.81</v>
      </c>
      <c r="I17" s="13">
        <v>179557.81666666665</v>
      </c>
      <c r="J17" s="15">
        <v>1</v>
      </c>
      <c r="K17" s="13">
        <v>9651886.5233333372</v>
      </c>
      <c r="L17" s="13">
        <v>4491922.3400000036</v>
      </c>
      <c r="M17" s="13">
        <v>3157041.8400000036</v>
      </c>
      <c r="N17" s="179">
        <v>43647</v>
      </c>
      <c r="O17" s="16">
        <v>45839</v>
      </c>
      <c r="P17" s="13">
        <v>118135.22</v>
      </c>
      <c r="Q17" s="222" t="e">
        <v>#VALUE!</v>
      </c>
    </row>
    <row r="18" spans="1:17" x14ac:dyDescent="0.2">
      <c r="A18" s="4" t="s">
        <v>44</v>
      </c>
      <c r="B18" s="13">
        <v>307409614.24000001</v>
      </c>
      <c r="C18" s="13">
        <v>282285582.33999997</v>
      </c>
      <c r="D18" s="13">
        <v>25124031.900000036</v>
      </c>
      <c r="E18" s="13">
        <v>4498989.43</v>
      </c>
      <c r="F18" s="13">
        <v>6878551</v>
      </c>
      <c r="G18" s="14">
        <v>3.65</v>
      </c>
      <c r="H18" s="14">
        <v>0.65</v>
      </c>
      <c r="I18" s="13">
        <v>374915.78583333333</v>
      </c>
      <c r="J18" s="15">
        <v>1</v>
      </c>
      <c r="K18" s="13">
        <v>24749116.114166703</v>
      </c>
      <c r="L18" s="13">
        <v>11366929.900000036</v>
      </c>
      <c r="M18" s="13">
        <v>7927654.4000000358</v>
      </c>
      <c r="N18" s="179">
        <v>43647</v>
      </c>
      <c r="O18" s="16">
        <v>45839</v>
      </c>
      <c r="P18" s="13">
        <v>445535.85</v>
      </c>
      <c r="Q18" s="222" t="e">
        <v>#VALUE!</v>
      </c>
    </row>
    <row r="19" spans="1:17" x14ac:dyDescent="0.2">
      <c r="A19" s="4" t="s">
        <v>30</v>
      </c>
      <c r="B19" s="13">
        <v>1042589157.45</v>
      </c>
      <c r="C19" s="13">
        <v>969361588.20000005</v>
      </c>
      <c r="D19" s="13">
        <v>73227569.25</v>
      </c>
      <c r="E19" s="13">
        <v>19636759.16</v>
      </c>
      <c r="F19" s="13">
        <v>20158365</v>
      </c>
      <c r="G19" s="14">
        <v>3.63</v>
      </c>
      <c r="H19" s="14">
        <v>0.97</v>
      </c>
      <c r="I19" s="13">
        <v>1636396.5966666667</v>
      </c>
      <c r="J19" s="15">
        <v>0</v>
      </c>
      <c r="K19" s="13">
        <v>73227569.25</v>
      </c>
      <c r="L19" s="13" t="s">
        <v>20</v>
      </c>
      <c r="M19" s="13" t="s">
        <v>20</v>
      </c>
      <c r="N19" s="179">
        <v>43922</v>
      </c>
      <c r="O19" s="16">
        <v>45748</v>
      </c>
      <c r="P19" s="13">
        <v>1529166</v>
      </c>
      <c r="Q19" s="222" t="e">
        <v>#VALUE!</v>
      </c>
    </row>
    <row r="20" spans="1:17" x14ac:dyDescent="0.2">
      <c r="A20" s="4" t="s">
        <v>36</v>
      </c>
      <c r="B20" s="13">
        <v>402118853.93000001</v>
      </c>
      <c r="C20" s="13">
        <v>369246092.94</v>
      </c>
      <c r="D20" s="13">
        <v>32872760.99000001</v>
      </c>
      <c r="E20" s="13">
        <v>6447559.9100000001</v>
      </c>
      <c r="F20" s="13">
        <v>9522686</v>
      </c>
      <c r="G20" s="14">
        <v>3.45</v>
      </c>
      <c r="H20" s="14">
        <v>0.68</v>
      </c>
      <c r="I20" s="13">
        <v>537296.65916666668</v>
      </c>
      <c r="J20" s="15">
        <v>0</v>
      </c>
      <c r="K20" s="13">
        <v>32872760.99000001</v>
      </c>
      <c r="L20" s="13" t="s">
        <v>20</v>
      </c>
      <c r="M20" s="13" t="s">
        <v>20</v>
      </c>
      <c r="N20" s="179">
        <v>43556</v>
      </c>
      <c r="O20" s="16">
        <v>45748</v>
      </c>
      <c r="P20" s="13">
        <v>2108473.41</v>
      </c>
      <c r="Q20" s="222" t="e">
        <v>#VALUE!</v>
      </c>
    </row>
    <row r="21" spans="1:17" x14ac:dyDescent="0.2">
      <c r="A21" s="4" t="s">
        <v>33</v>
      </c>
      <c r="B21" s="13">
        <v>1033187132</v>
      </c>
      <c r="C21" s="13">
        <v>955972391.55999994</v>
      </c>
      <c r="D21" s="13">
        <v>77214740.440000057</v>
      </c>
      <c r="E21" s="13">
        <v>22663062.120000001</v>
      </c>
      <c r="F21" s="13">
        <v>22862412</v>
      </c>
      <c r="G21" s="14">
        <v>3.38</v>
      </c>
      <c r="H21" s="14">
        <v>0.99</v>
      </c>
      <c r="I21" s="13">
        <v>1888588.51</v>
      </c>
      <c r="J21" s="15">
        <v>0</v>
      </c>
      <c r="K21" s="13">
        <v>77214740.440000057</v>
      </c>
      <c r="L21" s="13" t="s">
        <v>20</v>
      </c>
      <c r="M21" s="13" t="s">
        <v>20</v>
      </c>
      <c r="N21" s="179">
        <v>43922</v>
      </c>
      <c r="O21" s="16">
        <v>45748</v>
      </c>
      <c r="P21" s="13">
        <v>759443.4</v>
      </c>
      <c r="Q21" s="222" t="e">
        <v>#VALUE!</v>
      </c>
    </row>
    <row r="22" spans="1:17" x14ac:dyDescent="0.2">
      <c r="A22" s="4" t="s">
        <v>37</v>
      </c>
      <c r="B22" s="13">
        <v>190999038.36000001</v>
      </c>
      <c r="C22" s="13">
        <v>179108951.24000001</v>
      </c>
      <c r="D22" s="13">
        <v>11890087.120000005</v>
      </c>
      <c r="E22" s="13">
        <v>5901281.8899999997</v>
      </c>
      <c r="F22" s="13">
        <v>3551615</v>
      </c>
      <c r="G22" s="14">
        <v>3.35</v>
      </c>
      <c r="H22" s="14">
        <v>1.66</v>
      </c>
      <c r="I22" s="13">
        <v>491773.49083333329</v>
      </c>
      <c r="J22" s="15">
        <v>1</v>
      </c>
      <c r="K22" s="13">
        <v>11398313.629166672</v>
      </c>
      <c r="L22" s="13">
        <v>4786857.1200000048</v>
      </c>
      <c r="M22" s="13">
        <v>3011049.6200000048</v>
      </c>
      <c r="N22" s="179">
        <v>43647</v>
      </c>
      <c r="O22" s="16">
        <v>45839</v>
      </c>
      <c r="P22" s="13">
        <v>267782.84000000003</v>
      </c>
      <c r="Q22" s="222" t="e">
        <v>#VALUE!</v>
      </c>
    </row>
    <row r="23" spans="1:17" x14ac:dyDescent="0.2">
      <c r="A23" s="4" t="s">
        <v>34</v>
      </c>
      <c r="B23" s="13">
        <v>1468177330.9100001</v>
      </c>
      <c r="C23" s="13">
        <v>1370148793.9000001</v>
      </c>
      <c r="D23" s="13">
        <v>98028537.00999999</v>
      </c>
      <c r="E23" s="13">
        <v>46760270.869999997</v>
      </c>
      <c r="F23" s="13">
        <v>29748591</v>
      </c>
      <c r="G23" s="14">
        <v>3.3</v>
      </c>
      <c r="H23" s="14">
        <v>1.57</v>
      </c>
      <c r="I23" s="13">
        <v>3896689.2391666663</v>
      </c>
      <c r="J23" s="15">
        <v>1</v>
      </c>
      <c r="K23" s="13">
        <v>94131847.770833328</v>
      </c>
      <c r="L23" s="13">
        <v>38531355.00999999</v>
      </c>
      <c r="M23" s="13">
        <v>23657059.50999999</v>
      </c>
      <c r="N23" s="179">
        <v>43647</v>
      </c>
      <c r="O23" s="16">
        <v>45839</v>
      </c>
      <c r="P23" s="13">
        <v>6314976.1100000003</v>
      </c>
      <c r="Q23" s="222" t="e">
        <v>#VALUE!</v>
      </c>
    </row>
    <row r="24" spans="1:17" x14ac:dyDescent="0.2">
      <c r="A24" s="4" t="s">
        <v>51</v>
      </c>
      <c r="B24" s="13">
        <v>1083940953</v>
      </c>
      <c r="C24" s="13">
        <v>1004791516.49</v>
      </c>
      <c r="D24" s="13">
        <v>79149436.50999999</v>
      </c>
      <c r="E24" s="13">
        <v>19588017.039999999</v>
      </c>
      <c r="F24" s="13">
        <v>24208645</v>
      </c>
      <c r="G24" s="14">
        <v>3.27</v>
      </c>
      <c r="H24" s="14">
        <v>0.81</v>
      </c>
      <c r="I24" s="13">
        <v>1632334.7533333332</v>
      </c>
      <c r="J24" s="15">
        <v>7</v>
      </c>
      <c r="K24" s="13">
        <v>67723093.236666664</v>
      </c>
      <c r="L24" s="13">
        <v>4390306.6442857133</v>
      </c>
      <c r="M24" s="13">
        <v>2661117.7157142842</v>
      </c>
      <c r="N24" s="179">
        <v>43831</v>
      </c>
      <c r="O24" s="16">
        <v>46023</v>
      </c>
      <c r="P24" s="13">
        <v>568706.6</v>
      </c>
      <c r="Q24" s="222" t="e">
        <v>#VALUE!</v>
      </c>
    </row>
    <row r="25" spans="1:17" x14ac:dyDescent="0.2">
      <c r="A25" s="4" t="s">
        <v>49</v>
      </c>
      <c r="B25" s="13">
        <v>1263148065.8299999</v>
      </c>
      <c r="C25" s="13">
        <v>1186521285.6900001</v>
      </c>
      <c r="D25" s="13">
        <v>76626780.139999866</v>
      </c>
      <c r="E25" s="13">
        <v>17913683.149999999</v>
      </c>
      <c r="F25" s="13">
        <v>23759923</v>
      </c>
      <c r="G25" s="14">
        <v>3.23</v>
      </c>
      <c r="H25" s="14">
        <v>0.75</v>
      </c>
      <c r="I25" s="13">
        <v>1492806.9291666665</v>
      </c>
      <c r="J25" s="15">
        <v>1</v>
      </c>
      <c r="K25" s="13">
        <v>75133973.210833207</v>
      </c>
      <c r="L25" s="13">
        <v>29106934.139999866</v>
      </c>
      <c r="M25" s="13">
        <v>17226972.639999866</v>
      </c>
      <c r="N25" s="179">
        <v>43647</v>
      </c>
      <c r="O25" s="16">
        <v>45839</v>
      </c>
      <c r="P25" s="13">
        <v>2527115.5299999998</v>
      </c>
      <c r="Q25" s="222" t="e">
        <v>#VALUE!</v>
      </c>
    </row>
    <row r="26" spans="1:17" x14ac:dyDescent="0.2">
      <c r="A26" s="4" t="s">
        <v>55</v>
      </c>
      <c r="B26" s="13">
        <v>689945660</v>
      </c>
      <c r="C26" s="13">
        <v>642083207.52999997</v>
      </c>
      <c r="D26" s="13">
        <v>47862452.470000029</v>
      </c>
      <c r="E26" s="13">
        <v>8890606.3200000003</v>
      </c>
      <c r="F26" s="13">
        <v>14901309</v>
      </c>
      <c r="G26" s="14">
        <v>3.21</v>
      </c>
      <c r="H26" s="14">
        <v>0.6</v>
      </c>
      <c r="I26" s="13">
        <v>740883.86</v>
      </c>
      <c r="J26" s="15">
        <v>7</v>
      </c>
      <c r="K26" s="13">
        <v>42676265.450000033</v>
      </c>
      <c r="L26" s="13">
        <v>2579976.3528571469</v>
      </c>
      <c r="M26" s="13">
        <v>1515597.1385714326</v>
      </c>
      <c r="N26" s="179">
        <v>43466</v>
      </c>
      <c r="O26" s="16">
        <v>46023</v>
      </c>
      <c r="P26" s="13">
        <v>921734.98</v>
      </c>
      <c r="Q26" s="222" t="e">
        <v>#VALUE!</v>
      </c>
    </row>
    <row r="27" spans="1:17" x14ac:dyDescent="0.2">
      <c r="A27" s="4" t="s">
        <v>38</v>
      </c>
      <c r="B27" s="13">
        <v>542289730.02999997</v>
      </c>
      <c r="C27" s="13">
        <v>497948888.54000002</v>
      </c>
      <c r="D27" s="13">
        <v>44340841.48999995</v>
      </c>
      <c r="E27" s="13">
        <v>7768023.8099999996</v>
      </c>
      <c r="F27" s="13">
        <v>13960891</v>
      </c>
      <c r="G27" s="14">
        <v>3.18</v>
      </c>
      <c r="H27" s="14">
        <v>0.56000000000000005</v>
      </c>
      <c r="I27" s="13">
        <v>647335.3175</v>
      </c>
      <c r="J27" s="15">
        <v>1</v>
      </c>
      <c r="K27" s="13">
        <v>43693506.172499947</v>
      </c>
      <c r="L27" s="13">
        <v>16419059.48999995</v>
      </c>
      <c r="M27" s="13">
        <v>9438613.9899999499</v>
      </c>
      <c r="N27" s="179">
        <v>43647</v>
      </c>
      <c r="O27" s="16">
        <v>45839</v>
      </c>
      <c r="P27" s="13">
        <v>0</v>
      </c>
      <c r="Q27" s="222" t="e">
        <v>#VALUE!</v>
      </c>
    </row>
    <row r="28" spans="1:17" x14ac:dyDescent="0.2">
      <c r="A28" s="4" t="s">
        <v>46</v>
      </c>
      <c r="B28" s="13">
        <v>321862947.48000002</v>
      </c>
      <c r="C28" s="13">
        <v>298290288.51999998</v>
      </c>
      <c r="D28" s="13">
        <v>23572658.960000038</v>
      </c>
      <c r="E28" s="13">
        <v>8826380.8900000006</v>
      </c>
      <c r="F28" s="13">
        <v>7416560</v>
      </c>
      <c r="G28" s="14">
        <v>3.18</v>
      </c>
      <c r="H28" s="14">
        <v>1.19</v>
      </c>
      <c r="I28" s="13">
        <v>735531.74083333334</v>
      </c>
      <c r="J28" s="15">
        <v>1</v>
      </c>
      <c r="K28" s="13">
        <v>22837127.219166704</v>
      </c>
      <c r="L28" s="13">
        <v>8739538.9600000381</v>
      </c>
      <c r="M28" s="13">
        <v>5031258.9600000381</v>
      </c>
      <c r="N28" s="179">
        <v>43647</v>
      </c>
      <c r="O28" s="16">
        <v>45839</v>
      </c>
      <c r="P28" s="13">
        <v>909667.54</v>
      </c>
      <c r="Q28" s="222" t="e">
        <v>#VALUE!</v>
      </c>
    </row>
    <row r="29" spans="1:17" x14ac:dyDescent="0.2">
      <c r="A29" s="4" t="s">
        <v>41</v>
      </c>
      <c r="B29" s="13">
        <v>1276422533.53</v>
      </c>
      <c r="C29" s="13">
        <v>1125425443.49</v>
      </c>
      <c r="D29" s="13">
        <v>150997090.03999996</v>
      </c>
      <c r="E29" s="13">
        <v>40220380.329999998</v>
      </c>
      <c r="F29" s="13">
        <v>47644860</v>
      </c>
      <c r="G29" s="14">
        <v>3.17</v>
      </c>
      <c r="H29" s="14">
        <v>0.84</v>
      </c>
      <c r="I29" s="13">
        <v>3351698.3608333333</v>
      </c>
      <c r="J29" s="15">
        <v>7</v>
      </c>
      <c r="K29" s="13">
        <v>127535201.51416662</v>
      </c>
      <c r="L29" s="13">
        <v>7958195.7199999942</v>
      </c>
      <c r="M29" s="13">
        <v>4554991.4342857087</v>
      </c>
      <c r="N29" s="179">
        <v>43831</v>
      </c>
      <c r="O29" s="16">
        <v>46023</v>
      </c>
      <c r="P29" s="13">
        <v>4099520.76</v>
      </c>
      <c r="Q29" s="222" t="e">
        <v>#VALUE!</v>
      </c>
    </row>
    <row r="30" spans="1:17" x14ac:dyDescent="0.2">
      <c r="A30" s="4" t="s">
        <v>50</v>
      </c>
      <c r="B30" s="13">
        <v>1683242657.0699999</v>
      </c>
      <c r="C30" s="13">
        <v>1554090481.52</v>
      </c>
      <c r="D30" s="13">
        <v>129152175.54999995</v>
      </c>
      <c r="E30" s="13">
        <v>32124354.649999999</v>
      </c>
      <c r="F30" s="13">
        <v>40945091</v>
      </c>
      <c r="G30" s="14">
        <v>3.15</v>
      </c>
      <c r="H30" s="14">
        <v>0.78</v>
      </c>
      <c r="I30" s="13">
        <v>2677029.5541666667</v>
      </c>
      <c r="J30" s="15">
        <v>1</v>
      </c>
      <c r="K30" s="13">
        <v>126475145.99583329</v>
      </c>
      <c r="L30" s="13">
        <v>47261993.549999952</v>
      </c>
      <c r="M30" s="13">
        <v>26789448.049999952</v>
      </c>
      <c r="N30" s="179">
        <v>43647</v>
      </c>
      <c r="O30" s="16">
        <v>45839</v>
      </c>
      <c r="P30" s="13">
        <v>1058115.1200000001</v>
      </c>
      <c r="Q30" s="222" t="e">
        <v>#VALUE!</v>
      </c>
    </row>
    <row r="31" spans="1:17" x14ac:dyDescent="0.2">
      <c r="A31" s="4" t="s">
        <v>45</v>
      </c>
      <c r="B31" s="13">
        <v>2041893568.29</v>
      </c>
      <c r="C31" s="13">
        <v>1914768492.1500001</v>
      </c>
      <c r="D31" s="13">
        <v>127125076.13999987</v>
      </c>
      <c r="E31" s="13">
        <v>40812976.850000001</v>
      </c>
      <c r="F31" s="13">
        <v>40828727</v>
      </c>
      <c r="G31" s="14">
        <v>3.11</v>
      </c>
      <c r="H31" s="14">
        <v>1</v>
      </c>
      <c r="I31" s="13">
        <v>3401081.4041666668</v>
      </c>
      <c r="J31" s="15">
        <v>7</v>
      </c>
      <c r="K31" s="13">
        <v>103317506.3108332</v>
      </c>
      <c r="L31" s="13">
        <v>6495374.5914285528</v>
      </c>
      <c r="M31" s="13">
        <v>3579036.9485714096</v>
      </c>
      <c r="N31" s="179">
        <v>43831</v>
      </c>
      <c r="O31" s="16">
        <v>46023</v>
      </c>
      <c r="P31" s="13">
        <v>2140165.75</v>
      </c>
      <c r="Q31" s="222" t="e">
        <v>#VALUE!</v>
      </c>
    </row>
    <row r="32" spans="1:17" x14ac:dyDescent="0.2">
      <c r="A32" s="4" t="s">
        <v>29</v>
      </c>
      <c r="B32" s="13">
        <v>817050825.05999994</v>
      </c>
      <c r="C32" s="13">
        <v>762779361.65999997</v>
      </c>
      <c r="D32" s="13">
        <v>54271463.399999976</v>
      </c>
      <c r="E32" s="13">
        <v>28740681.949999999</v>
      </c>
      <c r="F32" s="13">
        <v>17644408</v>
      </c>
      <c r="G32" s="14">
        <v>3.08</v>
      </c>
      <c r="H32" s="14">
        <v>1.63</v>
      </c>
      <c r="I32" s="13">
        <v>2395056.8291666666</v>
      </c>
      <c r="J32" s="15">
        <v>1</v>
      </c>
      <c r="K32" s="13">
        <v>51876406.57083331</v>
      </c>
      <c r="L32" s="13">
        <v>18982647.399999976</v>
      </c>
      <c r="M32" s="13">
        <v>10160443.399999976</v>
      </c>
      <c r="N32" s="179">
        <v>43647</v>
      </c>
      <c r="O32" s="16">
        <v>45839</v>
      </c>
      <c r="P32" s="13">
        <v>3208628.76</v>
      </c>
      <c r="Q32" s="222" t="e">
        <v>#VALUE!</v>
      </c>
    </row>
    <row r="33" spans="1:17" x14ac:dyDescent="0.2">
      <c r="A33" s="4" t="s">
        <v>43</v>
      </c>
      <c r="B33" s="13">
        <v>259883413</v>
      </c>
      <c r="C33" s="13">
        <v>243099732.75</v>
      </c>
      <c r="D33" s="13">
        <v>16783680.25</v>
      </c>
      <c r="E33" s="13">
        <v>7717405.2699999996</v>
      </c>
      <c r="F33" s="13">
        <v>5643956</v>
      </c>
      <c r="G33" s="14">
        <v>2.97</v>
      </c>
      <c r="H33" s="14">
        <v>1.37</v>
      </c>
      <c r="I33" s="13">
        <v>643117.10583333333</v>
      </c>
      <c r="J33" s="15">
        <v>7</v>
      </c>
      <c r="K33" s="13">
        <v>12281860.509166665</v>
      </c>
      <c r="L33" s="13">
        <v>785109.75</v>
      </c>
      <c r="M33" s="13" t="s">
        <v>42</v>
      </c>
      <c r="N33" s="179">
        <v>43831</v>
      </c>
      <c r="O33" s="16">
        <v>46023</v>
      </c>
      <c r="P33" s="13">
        <v>435986.96</v>
      </c>
      <c r="Q33" s="222" t="e">
        <v>#VALUE!</v>
      </c>
    </row>
    <row r="34" spans="1:17" x14ac:dyDescent="0.2">
      <c r="A34" s="4" t="s">
        <v>56</v>
      </c>
      <c r="B34" s="13">
        <v>1182377479</v>
      </c>
      <c r="C34" s="13">
        <v>1101644189.8699999</v>
      </c>
      <c r="D34" s="13">
        <v>80733289.130000114</v>
      </c>
      <c r="E34" s="13">
        <v>22252114.670000002</v>
      </c>
      <c r="F34" s="13">
        <v>27472066</v>
      </c>
      <c r="G34" s="14">
        <v>2.94</v>
      </c>
      <c r="H34" s="14">
        <v>0.81</v>
      </c>
      <c r="I34" s="13">
        <v>1854342.8891666669</v>
      </c>
      <c r="J34" s="15">
        <v>1</v>
      </c>
      <c r="K34" s="13">
        <v>78878946.240833446</v>
      </c>
      <c r="L34" s="13">
        <v>25789157.130000114</v>
      </c>
      <c r="M34" s="13">
        <v>12053124.130000114</v>
      </c>
      <c r="N34" s="179">
        <v>43647</v>
      </c>
      <c r="O34" s="16">
        <v>45839</v>
      </c>
      <c r="P34" s="13">
        <v>2491547.4900000002</v>
      </c>
      <c r="Q34" s="222" t="e">
        <v>#VALUE!</v>
      </c>
    </row>
    <row r="35" spans="1:17" x14ac:dyDescent="0.2">
      <c r="A35" s="4" t="s">
        <v>52</v>
      </c>
      <c r="B35" s="13">
        <v>535148479</v>
      </c>
      <c r="C35" s="13">
        <v>499099610.29000002</v>
      </c>
      <c r="D35" s="13">
        <v>36048868.709999979</v>
      </c>
      <c r="E35" s="13">
        <v>10007554.66</v>
      </c>
      <c r="F35" s="13">
        <v>13099382</v>
      </c>
      <c r="G35" s="14">
        <v>2.75</v>
      </c>
      <c r="H35" s="14">
        <v>0.76</v>
      </c>
      <c r="I35" s="13">
        <v>833962.88833333331</v>
      </c>
      <c r="J35" s="15">
        <v>1</v>
      </c>
      <c r="K35" s="13">
        <v>35214905.821666643</v>
      </c>
      <c r="L35" s="13">
        <v>9850104.7099999785</v>
      </c>
      <c r="M35" s="13">
        <v>3300413.7099999785</v>
      </c>
      <c r="N35" s="179">
        <v>43647</v>
      </c>
      <c r="O35" s="16">
        <v>45839</v>
      </c>
      <c r="P35" s="13">
        <v>1150170.05</v>
      </c>
      <c r="Q35" s="222" t="e">
        <v>#VALUE!</v>
      </c>
    </row>
    <row r="36" spans="1:17" x14ac:dyDescent="0.2">
      <c r="A36" s="4" t="s">
        <v>64</v>
      </c>
      <c r="B36" s="13">
        <v>355494147</v>
      </c>
      <c r="C36" s="13">
        <v>330158573.80000001</v>
      </c>
      <c r="D36" s="13">
        <v>25335573.199999988</v>
      </c>
      <c r="E36" s="13">
        <v>8253475</v>
      </c>
      <c r="F36" s="13">
        <v>9435207</v>
      </c>
      <c r="G36" s="14">
        <v>2.69</v>
      </c>
      <c r="H36" s="14">
        <v>0.87</v>
      </c>
      <c r="I36" s="13">
        <v>687789.58333333337</v>
      </c>
      <c r="J36" s="15">
        <v>7</v>
      </c>
      <c r="K36" s="13">
        <v>20521046.116666652</v>
      </c>
      <c r="L36" s="13">
        <v>923594.17142856971</v>
      </c>
      <c r="M36" s="13" t="s">
        <v>42</v>
      </c>
      <c r="N36" s="179">
        <v>43831</v>
      </c>
      <c r="O36" s="16">
        <v>46023</v>
      </c>
      <c r="P36" s="13">
        <v>783772.19</v>
      </c>
      <c r="Q36" s="222" t="e">
        <v>#VALUE!</v>
      </c>
    </row>
    <row r="37" spans="1:17" x14ac:dyDescent="0.2">
      <c r="A37" s="4" t="s">
        <v>63</v>
      </c>
      <c r="B37" s="13">
        <v>1340428223.5599999</v>
      </c>
      <c r="C37" s="13">
        <v>1259549290.29</v>
      </c>
      <c r="D37" s="13">
        <v>80878933.269999981</v>
      </c>
      <c r="E37" s="13">
        <v>22526563.73</v>
      </c>
      <c r="F37" s="13">
        <v>30689455</v>
      </c>
      <c r="G37" s="14">
        <v>2.64</v>
      </c>
      <c r="H37" s="14">
        <v>0.73</v>
      </c>
      <c r="I37" s="13">
        <v>1877213.6441666668</v>
      </c>
      <c r="J37" s="15">
        <v>1</v>
      </c>
      <c r="K37" s="13">
        <v>79001719.625833318</v>
      </c>
      <c r="L37" s="13">
        <v>19500023.269999981</v>
      </c>
      <c r="M37" s="13">
        <v>4155295.7699999809</v>
      </c>
      <c r="N37" s="179">
        <v>43647</v>
      </c>
      <c r="O37" s="16">
        <v>45839</v>
      </c>
      <c r="P37" s="13">
        <v>3237207.53</v>
      </c>
      <c r="Q37" s="222" t="e">
        <v>#VALUE!</v>
      </c>
    </row>
    <row r="38" spans="1:17" x14ac:dyDescent="0.2">
      <c r="A38" s="4" t="s">
        <v>53</v>
      </c>
      <c r="B38" s="13">
        <v>2950491414.54</v>
      </c>
      <c r="C38" s="13">
        <v>2763955579.1799998</v>
      </c>
      <c r="D38" s="13">
        <v>186535835.36000013</v>
      </c>
      <c r="E38" s="13">
        <v>65325114.710000001</v>
      </c>
      <c r="F38" s="13">
        <v>71178309</v>
      </c>
      <c r="G38" s="14">
        <v>2.62</v>
      </c>
      <c r="H38" s="14">
        <v>0.92</v>
      </c>
      <c r="I38" s="13">
        <v>5443759.5591666671</v>
      </c>
      <c r="J38" s="15">
        <v>3</v>
      </c>
      <c r="K38" s="13">
        <v>170204556.68250012</v>
      </c>
      <c r="L38" s="13">
        <v>14726405.786666712</v>
      </c>
      <c r="M38" s="13" t="s">
        <v>42</v>
      </c>
      <c r="N38" s="179">
        <v>44075</v>
      </c>
      <c r="O38" s="16">
        <v>45901</v>
      </c>
      <c r="P38" s="13">
        <v>7302633.2599999998</v>
      </c>
      <c r="Q38" s="222" t="e">
        <v>#VALUE!</v>
      </c>
    </row>
    <row r="39" spans="1:17" x14ac:dyDescent="0.2">
      <c r="A39" s="4" t="s">
        <v>61</v>
      </c>
      <c r="B39" s="13">
        <v>1108314599.5</v>
      </c>
      <c r="C39" s="13">
        <v>1050159241.61</v>
      </c>
      <c r="D39" s="13">
        <v>58155357.889999986</v>
      </c>
      <c r="E39" s="13">
        <v>21151891.050000001</v>
      </c>
      <c r="F39" s="13">
        <v>23039495</v>
      </c>
      <c r="G39" s="14">
        <v>2.52</v>
      </c>
      <c r="H39" s="14">
        <v>0.92</v>
      </c>
      <c r="I39" s="13">
        <v>1762657.5875000001</v>
      </c>
      <c r="J39" s="15">
        <v>0</v>
      </c>
      <c r="K39" s="13">
        <v>58155357.889999986</v>
      </c>
      <c r="L39" s="13" t="s">
        <v>20</v>
      </c>
      <c r="M39" s="13" t="s">
        <v>20</v>
      </c>
      <c r="N39" s="179">
        <v>43556</v>
      </c>
      <c r="O39" s="16">
        <v>45748</v>
      </c>
      <c r="P39" s="13">
        <v>1926916.77</v>
      </c>
      <c r="Q39" s="222" t="e">
        <v>#VALUE!</v>
      </c>
    </row>
    <row r="40" spans="1:17" x14ac:dyDescent="0.2">
      <c r="A40" s="4" t="s">
        <v>58</v>
      </c>
      <c r="B40" s="13">
        <v>1227877221</v>
      </c>
      <c r="C40" s="13">
        <v>1172272521.9200001</v>
      </c>
      <c r="D40" s="13">
        <v>55604699.079999924</v>
      </c>
      <c r="E40" s="13">
        <v>19711352.170000002</v>
      </c>
      <c r="F40" s="13">
        <v>22761731</v>
      </c>
      <c r="G40" s="14">
        <v>2.44</v>
      </c>
      <c r="H40" s="14">
        <v>0.87</v>
      </c>
      <c r="I40" s="13">
        <v>1642612.6808333334</v>
      </c>
      <c r="J40" s="15">
        <v>0</v>
      </c>
      <c r="K40" s="13">
        <v>55604699.079999924</v>
      </c>
      <c r="L40" s="13" t="s">
        <v>20</v>
      </c>
      <c r="M40" s="13" t="s">
        <v>42</v>
      </c>
      <c r="N40" s="179">
        <v>43922</v>
      </c>
      <c r="O40" s="16">
        <v>45748</v>
      </c>
      <c r="P40" s="13">
        <v>1114586.24</v>
      </c>
      <c r="Q40" s="222" t="e">
        <v>#VALUE!</v>
      </c>
    </row>
    <row r="41" spans="1:17" x14ac:dyDescent="0.2">
      <c r="A41" s="4" t="s">
        <v>60</v>
      </c>
      <c r="B41" s="13">
        <v>351543186.45999998</v>
      </c>
      <c r="C41" s="13">
        <v>330698602.50999999</v>
      </c>
      <c r="D41" s="13">
        <v>20844583.949999988</v>
      </c>
      <c r="E41" s="13">
        <v>6708336.25</v>
      </c>
      <c r="F41" s="13">
        <v>8658249</v>
      </c>
      <c r="G41" s="14">
        <v>2.41</v>
      </c>
      <c r="H41" s="14">
        <v>0.77</v>
      </c>
      <c r="I41" s="13">
        <v>559028.02083333337</v>
      </c>
      <c r="J41" s="15">
        <v>0</v>
      </c>
      <c r="K41" s="13">
        <v>20844583.949999988</v>
      </c>
      <c r="L41" s="13" t="s">
        <v>20</v>
      </c>
      <c r="M41" s="13" t="s">
        <v>42</v>
      </c>
      <c r="N41" s="179">
        <v>43556</v>
      </c>
      <c r="O41" s="16">
        <v>45748</v>
      </c>
      <c r="P41" s="13">
        <v>691233.83</v>
      </c>
      <c r="Q41" s="222" t="e">
        <v>#VALUE!</v>
      </c>
    </row>
    <row r="42" spans="1:17" x14ac:dyDescent="0.2">
      <c r="A42" s="4" t="s">
        <v>59</v>
      </c>
      <c r="B42" s="13">
        <v>285086766</v>
      </c>
      <c r="C42" s="13">
        <v>267339633</v>
      </c>
      <c r="D42" s="13">
        <v>17747133</v>
      </c>
      <c r="E42" s="13">
        <v>6732508.9699999997</v>
      </c>
      <c r="F42" s="13">
        <v>7485780</v>
      </c>
      <c r="G42" s="14">
        <v>2.37</v>
      </c>
      <c r="H42" s="14">
        <v>0.9</v>
      </c>
      <c r="I42" s="13">
        <v>561042.41416666668</v>
      </c>
      <c r="J42" s="15">
        <v>1</v>
      </c>
      <c r="K42" s="13">
        <v>17186090.585833333</v>
      </c>
      <c r="L42" s="13">
        <v>2775573</v>
      </c>
      <c r="M42" s="13" t="s">
        <v>42</v>
      </c>
      <c r="N42" s="179">
        <v>43647</v>
      </c>
      <c r="O42" s="16">
        <v>45839</v>
      </c>
      <c r="P42" s="13">
        <v>130076</v>
      </c>
      <c r="Q42" s="222" t="e">
        <v>#VALUE!</v>
      </c>
    </row>
    <row r="43" spans="1:17" x14ac:dyDescent="0.2">
      <c r="A43" s="4" t="s">
        <v>62</v>
      </c>
      <c r="B43" s="13">
        <v>699328036.19000006</v>
      </c>
      <c r="C43" s="13">
        <v>669547486.75</v>
      </c>
      <c r="D43" s="13">
        <v>29780549.440000057</v>
      </c>
      <c r="E43" s="13">
        <v>12591587.119999999</v>
      </c>
      <c r="F43" s="13">
        <v>14024709</v>
      </c>
      <c r="G43" s="14">
        <v>2.12</v>
      </c>
      <c r="H43" s="14">
        <v>0.9</v>
      </c>
      <c r="I43" s="13">
        <v>1049298.9266666665</v>
      </c>
      <c r="J43" s="15">
        <v>0</v>
      </c>
      <c r="K43" s="13">
        <v>29780549.440000057</v>
      </c>
      <c r="L43" s="13" t="s">
        <v>20</v>
      </c>
      <c r="M43" s="13" t="s">
        <v>42</v>
      </c>
      <c r="N43" s="179">
        <v>43922</v>
      </c>
      <c r="O43" s="16">
        <v>45748</v>
      </c>
      <c r="P43" s="13">
        <v>634306.43000000005</v>
      </c>
      <c r="Q43" s="222" t="e">
        <v>#VALUE!</v>
      </c>
    </row>
    <row r="44" spans="1:17" x14ac:dyDescent="0.2">
      <c r="A44" s="4" t="s">
        <v>48</v>
      </c>
      <c r="B44" s="13">
        <v>557171086.30999994</v>
      </c>
      <c r="C44" s="13">
        <v>532433473.91000003</v>
      </c>
      <c r="D44" s="13">
        <v>24737612.399999917</v>
      </c>
      <c r="E44" s="13">
        <v>16795228.600000001</v>
      </c>
      <c r="F44" s="13">
        <v>11761407</v>
      </c>
      <c r="G44" s="14">
        <v>2.1</v>
      </c>
      <c r="H44" s="14">
        <v>1.43</v>
      </c>
      <c r="I44" s="13">
        <v>1399602.3833333335</v>
      </c>
      <c r="J44" s="15">
        <v>7</v>
      </c>
      <c r="K44" s="13">
        <v>14940395.716666581</v>
      </c>
      <c r="L44" s="13" t="s">
        <v>42</v>
      </c>
      <c r="M44" s="13" t="s">
        <v>42</v>
      </c>
      <c r="N44" s="179">
        <v>43831</v>
      </c>
      <c r="O44" s="16">
        <v>46023</v>
      </c>
      <c r="P44" s="13">
        <v>621824</v>
      </c>
      <c r="Q44" s="222" t="e">
        <v>#VALUE!</v>
      </c>
    </row>
    <row r="45" spans="1:17" x14ac:dyDescent="0.2">
      <c r="A45" s="4" t="s">
        <v>54</v>
      </c>
      <c r="B45" s="13">
        <v>1428807757.99</v>
      </c>
      <c r="C45" s="13">
        <v>1356855464.5799999</v>
      </c>
      <c r="D45" s="13">
        <v>71952293.410000086</v>
      </c>
      <c r="E45" s="13">
        <v>48787094.509999998</v>
      </c>
      <c r="F45" s="13">
        <v>34424780</v>
      </c>
      <c r="G45" s="14">
        <v>2.09</v>
      </c>
      <c r="H45" s="14">
        <v>1.42</v>
      </c>
      <c r="I45" s="13">
        <v>4065591.2091666665</v>
      </c>
      <c r="J45" s="15">
        <v>0</v>
      </c>
      <c r="K45" s="13">
        <v>71952293.410000086</v>
      </c>
      <c r="L45" s="13" t="s">
        <v>20</v>
      </c>
      <c r="M45" s="13" t="s">
        <v>42</v>
      </c>
      <c r="N45" s="179">
        <v>43922</v>
      </c>
      <c r="O45" s="16">
        <v>45748</v>
      </c>
      <c r="P45" s="13">
        <v>2198786.7799999998</v>
      </c>
      <c r="Q45" s="222" t="e">
        <v>#VALUE!</v>
      </c>
    </row>
    <row r="46" spans="1:17" x14ac:dyDescent="0.2">
      <c r="A46" s="4" t="s">
        <v>66</v>
      </c>
      <c r="B46" s="13">
        <v>1985336227.8699999</v>
      </c>
      <c r="C46" s="13">
        <v>1891543844.47</v>
      </c>
      <c r="D46" s="13">
        <v>93792383.399999857</v>
      </c>
      <c r="E46" s="13">
        <v>43484506.020000003</v>
      </c>
      <c r="F46" s="13">
        <v>45588088</v>
      </c>
      <c r="G46" s="14">
        <v>2.06</v>
      </c>
      <c r="H46" s="14">
        <v>0.95</v>
      </c>
      <c r="I46" s="13">
        <v>3623708.8350000004</v>
      </c>
      <c r="J46" s="15">
        <v>1</v>
      </c>
      <c r="K46" s="13">
        <v>90168674.564999864</v>
      </c>
      <c r="L46" s="13" t="s">
        <v>42</v>
      </c>
      <c r="M46" s="13" t="s">
        <v>42</v>
      </c>
      <c r="N46" s="179">
        <v>43647</v>
      </c>
      <c r="O46" s="16">
        <v>45839</v>
      </c>
      <c r="P46" s="13">
        <v>3138818.16</v>
      </c>
      <c r="Q46" s="222" t="e">
        <v>#VALUE!</v>
      </c>
    </row>
    <row r="47" spans="1:17" x14ac:dyDescent="0.2">
      <c r="A47" s="4" t="s">
        <v>67</v>
      </c>
      <c r="B47" s="13">
        <v>1110426785</v>
      </c>
      <c r="C47" s="13">
        <v>1054649263.04</v>
      </c>
      <c r="D47" s="13">
        <v>55777521.960000038</v>
      </c>
      <c r="E47" s="13">
        <v>22716995.440000001</v>
      </c>
      <c r="F47" s="13">
        <v>27485501</v>
      </c>
      <c r="G47" s="14">
        <v>2.0299999999999998</v>
      </c>
      <c r="H47" s="14">
        <v>0.83</v>
      </c>
      <c r="I47" s="13">
        <v>1893082.9533333334</v>
      </c>
      <c r="J47" s="15">
        <v>0</v>
      </c>
      <c r="K47" s="13">
        <v>55777521.960000038</v>
      </c>
      <c r="L47" s="13" t="s">
        <v>20</v>
      </c>
      <c r="M47" s="13" t="s">
        <v>42</v>
      </c>
      <c r="N47" s="179">
        <v>43922</v>
      </c>
      <c r="O47" s="16">
        <v>45748</v>
      </c>
      <c r="P47" s="13">
        <v>2035879.48</v>
      </c>
      <c r="Q47" s="222" t="e">
        <v>#VALUE!</v>
      </c>
    </row>
    <row r="48" spans="1:17" x14ac:dyDescent="0.2">
      <c r="A48" s="4" t="s">
        <v>68</v>
      </c>
      <c r="B48" s="13">
        <v>509113932</v>
      </c>
      <c r="C48" s="13">
        <v>486402817.39999998</v>
      </c>
      <c r="D48" s="13">
        <v>22711114.600000024</v>
      </c>
      <c r="E48" s="13">
        <v>11208475.369999999</v>
      </c>
      <c r="F48" s="13">
        <v>11867952</v>
      </c>
      <c r="G48" s="14">
        <v>1.91</v>
      </c>
      <c r="H48" s="14">
        <v>0.94</v>
      </c>
      <c r="I48" s="13">
        <v>934039.61416666664</v>
      </c>
      <c r="J48" s="15">
        <v>7</v>
      </c>
      <c r="K48" s="13">
        <v>16172837.300833357</v>
      </c>
      <c r="L48" s="13" t="s">
        <v>42</v>
      </c>
      <c r="M48" s="13" t="s">
        <v>42</v>
      </c>
      <c r="N48" s="179">
        <v>43831</v>
      </c>
      <c r="O48" s="16">
        <v>46023</v>
      </c>
      <c r="P48" s="13">
        <v>1092136.4099999999</v>
      </c>
      <c r="Q48" s="222" t="e">
        <v>#VALUE!</v>
      </c>
    </row>
    <row r="49" spans="1:17" x14ac:dyDescent="0.2">
      <c r="A49" s="4" t="s">
        <v>57</v>
      </c>
      <c r="B49" s="13">
        <v>101611843</v>
      </c>
      <c r="C49" s="13">
        <v>96103461.560000002</v>
      </c>
      <c r="D49" s="13">
        <v>5508381.4399999976</v>
      </c>
      <c r="E49" s="13">
        <v>3487228.46</v>
      </c>
      <c r="F49" s="13">
        <v>2910779</v>
      </c>
      <c r="G49" s="14">
        <v>1.89</v>
      </c>
      <c r="H49" s="14">
        <v>1.2</v>
      </c>
      <c r="I49" s="13">
        <v>290602.37166666664</v>
      </c>
      <c r="J49" s="15">
        <v>1</v>
      </c>
      <c r="K49" s="13">
        <v>5217779.0683333306</v>
      </c>
      <c r="L49" s="13" t="s">
        <v>42</v>
      </c>
      <c r="M49" s="13" t="s">
        <v>42</v>
      </c>
      <c r="N49" s="179">
        <v>43647</v>
      </c>
      <c r="O49" s="16">
        <v>45839</v>
      </c>
      <c r="P49" s="13">
        <v>583963.48</v>
      </c>
      <c r="Q49" s="222" t="e">
        <v>#VALUE!</v>
      </c>
    </row>
    <row r="50" spans="1:17" x14ac:dyDescent="0.2">
      <c r="A50" s="4" t="s">
        <v>65</v>
      </c>
      <c r="B50" s="13">
        <v>398824318</v>
      </c>
      <c r="C50" s="13">
        <v>381305290.11000001</v>
      </c>
      <c r="D50" s="13">
        <v>17519027.889999986</v>
      </c>
      <c r="E50" s="13">
        <v>11321607.9</v>
      </c>
      <c r="F50" s="13">
        <v>9664284</v>
      </c>
      <c r="G50" s="14">
        <v>1.81</v>
      </c>
      <c r="H50" s="14">
        <v>1.17</v>
      </c>
      <c r="I50" s="13">
        <v>943467.32500000007</v>
      </c>
      <c r="J50" s="15">
        <v>1</v>
      </c>
      <c r="K50" s="13">
        <v>16575560.564999986</v>
      </c>
      <c r="L50" s="13" t="s">
        <v>42</v>
      </c>
      <c r="M50" s="13" t="s">
        <v>42</v>
      </c>
      <c r="N50" s="179">
        <v>43647</v>
      </c>
      <c r="O50" s="16">
        <v>45839</v>
      </c>
      <c r="P50" s="13">
        <v>1085036.01</v>
      </c>
      <c r="Q50" s="222" t="e">
        <v>#VALUE!</v>
      </c>
    </row>
    <row r="51" spans="1:17" x14ac:dyDescent="0.2">
      <c r="A51" s="4" t="s">
        <v>69</v>
      </c>
      <c r="B51" s="13">
        <v>243764651</v>
      </c>
      <c r="C51" s="13">
        <v>234261753.13999999</v>
      </c>
      <c r="D51" s="13">
        <v>9502897.8600000143</v>
      </c>
      <c r="E51" s="13">
        <v>4692396.4400000004</v>
      </c>
      <c r="F51" s="13">
        <v>5561418</v>
      </c>
      <c r="G51" s="14">
        <v>1.71</v>
      </c>
      <c r="H51" s="14">
        <v>0.84</v>
      </c>
      <c r="I51" s="13">
        <v>391033.03666666668</v>
      </c>
      <c r="J51" s="15">
        <v>1</v>
      </c>
      <c r="K51" s="13">
        <v>9111864.8233333472</v>
      </c>
      <c r="L51" s="13" t="s">
        <v>42</v>
      </c>
      <c r="M51" s="13" t="s">
        <v>42</v>
      </c>
      <c r="N51" s="179">
        <v>43647</v>
      </c>
      <c r="O51" s="16">
        <v>45839</v>
      </c>
      <c r="P51" s="13">
        <v>88226.21</v>
      </c>
      <c r="Q51" s="222" t="e">
        <v>#VALUE!</v>
      </c>
    </row>
    <row r="52" spans="1:17" x14ac:dyDescent="0.2">
      <c r="A52" s="4" t="s">
        <v>70</v>
      </c>
      <c r="B52" s="13">
        <v>78247436</v>
      </c>
      <c r="C52" s="13">
        <v>74511097.980000004</v>
      </c>
      <c r="D52" s="18">
        <v>3736338.0199999958</v>
      </c>
      <c r="E52" s="13">
        <v>2661604.88</v>
      </c>
      <c r="F52" s="13">
        <v>2776815</v>
      </c>
      <c r="G52" s="14">
        <v>1.35</v>
      </c>
      <c r="H52" s="14">
        <v>0.96</v>
      </c>
      <c r="I52" s="18">
        <v>221800.40666666665</v>
      </c>
      <c r="J52" s="15">
        <v>1</v>
      </c>
      <c r="K52" s="18">
        <v>3514537.6133333291</v>
      </c>
      <c r="L52" s="18" t="s">
        <v>42</v>
      </c>
      <c r="M52" s="18" t="s">
        <v>42</v>
      </c>
      <c r="N52" s="180">
        <v>43647</v>
      </c>
      <c r="O52" s="16">
        <v>45839</v>
      </c>
      <c r="P52" s="13">
        <v>9644.41</v>
      </c>
      <c r="Q52" s="222" t="e">
        <v>#VALUE!</v>
      </c>
    </row>
    <row r="53" spans="1:17" x14ac:dyDescent="0.25">
      <c r="A53" s="34" t="s">
        <v>71</v>
      </c>
      <c r="B53" s="31">
        <v>44036420836.440002</v>
      </c>
      <c r="C53" s="13">
        <v>40769439668.160004</v>
      </c>
      <c r="D53" s="31">
        <v>3266981168.2799988</v>
      </c>
      <c r="E53" s="13">
        <v>949234881.38</v>
      </c>
      <c r="F53" s="13">
        <v>983785270</v>
      </c>
      <c r="G53" s="14">
        <v>3.32</v>
      </c>
      <c r="H53" s="14">
        <v>0.96</v>
      </c>
      <c r="I53" s="31">
        <v>79102906.781666666</v>
      </c>
      <c r="J53" s="32"/>
      <c r="K53" s="33"/>
      <c r="L53" s="33"/>
      <c r="M53" s="33"/>
      <c r="N53" s="33"/>
      <c r="O53" s="33"/>
      <c r="P53" s="31">
        <v>77718599.810000017</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37</v>
      </c>
      <c r="H56" s="25"/>
    </row>
    <row r="57" spans="1:17" ht="27" customHeight="1" thickBot="1" x14ac:dyDescent="0.3">
      <c r="D57" s="228" t="s">
        <v>73</v>
      </c>
      <c r="E57" s="229"/>
      <c r="F57" s="229"/>
      <c r="G57" s="27"/>
      <c r="H57" s="28">
        <v>34</v>
      </c>
    </row>
  </sheetData>
  <mergeCells count="2">
    <mergeCell ref="D56:F56"/>
    <mergeCell ref="D57:F57"/>
  </mergeCells>
  <conditionalFormatting sqref="G54">
    <cfRule type="cellIs" dxfId="97" priority="13" stopIfTrue="1" operator="greaterThan">
      <formula>2.5</formula>
    </cfRule>
    <cfRule type="cellIs" dxfId="96" priority="14" stopIfTrue="1" operator="between">
      <formula>2.01</formula>
      <formula>2.5</formula>
    </cfRule>
  </conditionalFormatting>
  <conditionalFormatting sqref="H3:H53">
    <cfRule type="cellIs" dxfId="95" priority="12" stopIfTrue="1" operator="lessThan">
      <formula>1</formula>
    </cfRule>
  </conditionalFormatting>
  <conditionalFormatting sqref="G3:G53">
    <cfRule type="cellIs" dxfId="94" priority="10" stopIfTrue="1" operator="greaterThan">
      <formula>2.5</formula>
    </cfRule>
    <cfRule type="cellIs" dxfId="93" priority="11" stopIfTrue="1" operator="between">
      <formula>2.01</formula>
      <formula>2.5</formula>
    </cfRule>
  </conditionalFormatting>
  <conditionalFormatting sqref="K3:K52">
    <cfRule type="cellIs" dxfId="92" priority="8" stopIfTrue="1" operator="greaterThan">
      <formula>$F3*2.5</formula>
    </cfRule>
    <cfRule type="cellIs" dxfId="91" priority="9" stopIfTrue="1" operator="between">
      <formula>$F3*2</formula>
      <formula>$F3*2.5</formula>
    </cfRule>
  </conditionalFormatting>
  <conditionalFormatting sqref="G54">
    <cfRule type="cellIs" dxfId="90" priority="6" stopIfTrue="1" operator="greaterThan">
      <formula>2.5</formula>
    </cfRule>
    <cfRule type="cellIs" dxfId="89" priority="7" stopIfTrue="1" operator="between">
      <formula>2.01</formula>
      <formula>2.5</formula>
    </cfRule>
  </conditionalFormatting>
  <conditionalFormatting sqref="H3:H53">
    <cfRule type="cellIs" dxfId="88" priority="5" stopIfTrue="1" operator="lessThan">
      <formula>1</formula>
    </cfRule>
  </conditionalFormatting>
  <conditionalFormatting sqref="G3:G53">
    <cfRule type="cellIs" dxfId="87" priority="3" stopIfTrue="1" operator="greaterThan">
      <formula>2.5</formula>
    </cfRule>
    <cfRule type="cellIs" dxfId="86" priority="4" stopIfTrue="1" operator="between">
      <formula>2.01</formula>
      <formula>2.5</formula>
    </cfRule>
  </conditionalFormatting>
  <conditionalFormatting sqref="K3:K52">
    <cfRule type="cellIs" dxfId="85" priority="1" stopIfTrue="1" operator="greaterThan">
      <formula>$F3*2.5</formula>
    </cfRule>
    <cfRule type="cellIs" dxfId="84"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E3D7-1432-4FB1-86CE-E270934C86C4}">
  <sheetPr>
    <tabColor rgb="FF92D050"/>
    <pageSetUpPr fitToPage="1"/>
  </sheetPr>
  <dimension ref="A1:Q57"/>
  <sheetViews>
    <sheetView tabSelected="1" workbookViewId="0">
      <pane xSplit="1" ySplit="2" topLeftCell="B39" activePane="bottomRight" state="frozen"/>
      <selection pane="topRight" activeCell="A19" sqref="A19:H81"/>
      <selection pane="bottomLeft" activeCell="A19" sqref="A19:H81"/>
      <selection pane="bottomRight" activeCell="S18" sqref="S18"/>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118</v>
      </c>
      <c r="B1" s="178" t="s">
        <v>119</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1161972037.8499999</v>
      </c>
      <c r="C3" s="13">
        <v>1009058031.05</v>
      </c>
      <c r="D3" s="13">
        <v>152914006.79999995</v>
      </c>
      <c r="E3" s="13">
        <v>22900934.800000001</v>
      </c>
      <c r="F3" s="13">
        <v>24581601</v>
      </c>
      <c r="G3" s="14">
        <v>6.22</v>
      </c>
      <c r="H3" s="14">
        <v>0.93</v>
      </c>
      <c r="I3" s="13">
        <v>1908411.2333333334</v>
      </c>
      <c r="J3" s="15">
        <v>0</v>
      </c>
      <c r="K3" s="13">
        <v>152914006.79999995</v>
      </c>
      <c r="L3" s="13" t="s">
        <v>20</v>
      </c>
      <c r="M3" s="13" t="s">
        <v>20</v>
      </c>
      <c r="N3" s="179">
        <v>43647</v>
      </c>
      <c r="O3" s="16">
        <v>45839</v>
      </c>
      <c r="P3" s="13">
        <v>743930.03</v>
      </c>
      <c r="Q3" s="223" t="e">
        <v>#VALUE!</v>
      </c>
    </row>
    <row r="4" spans="1:17" x14ac:dyDescent="0.2">
      <c r="A4" s="4" t="s">
        <v>22</v>
      </c>
      <c r="B4" s="13">
        <v>722479384.32000005</v>
      </c>
      <c r="C4" s="13">
        <v>646750834.75</v>
      </c>
      <c r="D4" s="13">
        <v>75728549.570000052</v>
      </c>
      <c r="E4" s="13">
        <v>10779780.02</v>
      </c>
      <c r="F4" s="13">
        <v>13783001</v>
      </c>
      <c r="G4" s="14">
        <v>5.49</v>
      </c>
      <c r="H4" s="14">
        <v>0.78</v>
      </c>
      <c r="I4" s="13">
        <v>898315.00166666659</v>
      </c>
      <c r="J4" s="15">
        <v>0</v>
      </c>
      <c r="K4" s="13">
        <v>75728549.570000052</v>
      </c>
      <c r="L4" s="13" t="s">
        <v>20</v>
      </c>
      <c r="M4" s="13" t="s">
        <v>20</v>
      </c>
      <c r="N4" s="179">
        <v>43647</v>
      </c>
      <c r="O4" s="16">
        <v>45839</v>
      </c>
      <c r="P4" s="13">
        <v>387153.43</v>
      </c>
      <c r="Q4" s="222" t="e">
        <v>#VALUE!</v>
      </c>
    </row>
    <row r="5" spans="1:17" x14ac:dyDescent="0.2">
      <c r="A5" s="4" t="s">
        <v>21</v>
      </c>
      <c r="B5" s="13">
        <v>1834758280.3599999</v>
      </c>
      <c r="C5" s="13">
        <v>1587891455.1800001</v>
      </c>
      <c r="D5" s="13">
        <v>246866825.17999983</v>
      </c>
      <c r="E5" s="13">
        <v>43607005.939999998</v>
      </c>
      <c r="F5" s="13">
        <v>46162390</v>
      </c>
      <c r="G5" s="14">
        <v>5.35</v>
      </c>
      <c r="H5" s="14">
        <v>0.94</v>
      </c>
      <c r="I5" s="13">
        <v>3633917.1616666666</v>
      </c>
      <c r="J5" s="15">
        <v>6</v>
      </c>
      <c r="K5" s="13">
        <v>225063322.20999983</v>
      </c>
      <c r="L5" s="13">
        <v>25757007.529999971</v>
      </c>
      <c r="M5" s="13">
        <v>21910141.696666639</v>
      </c>
      <c r="N5" s="179">
        <v>43831</v>
      </c>
      <c r="O5" s="16">
        <v>46023</v>
      </c>
      <c r="P5" s="13">
        <v>4813617.58</v>
      </c>
      <c r="Q5" s="222" t="e">
        <v>#VALUE!</v>
      </c>
    </row>
    <row r="6" spans="1:17" x14ac:dyDescent="0.2">
      <c r="A6" s="4" t="s">
        <v>24</v>
      </c>
      <c r="B6" s="13">
        <v>1503333344.97</v>
      </c>
      <c r="C6" s="13">
        <v>1321172056.3499999</v>
      </c>
      <c r="D6" s="13">
        <v>182161288.62000012</v>
      </c>
      <c r="E6" s="13">
        <v>22475092.48</v>
      </c>
      <c r="F6" s="13">
        <v>34090474</v>
      </c>
      <c r="G6" s="14">
        <v>5.34</v>
      </c>
      <c r="H6" s="14">
        <v>0.66</v>
      </c>
      <c r="I6" s="13">
        <v>1872924.3733333333</v>
      </c>
      <c r="J6" s="15">
        <v>0</v>
      </c>
      <c r="K6" s="13">
        <v>182161288.62000012</v>
      </c>
      <c r="L6" s="13" t="s">
        <v>20</v>
      </c>
      <c r="M6" s="13" t="s">
        <v>20</v>
      </c>
      <c r="N6" s="179">
        <v>43647</v>
      </c>
      <c r="O6" s="16">
        <v>45839</v>
      </c>
      <c r="P6" s="13">
        <v>591233.89</v>
      </c>
      <c r="Q6" s="222" t="e">
        <v>#VALUE!</v>
      </c>
    </row>
    <row r="7" spans="1:17" x14ac:dyDescent="0.2">
      <c r="A7" s="4" t="s">
        <v>31</v>
      </c>
      <c r="B7" s="13">
        <v>504504813</v>
      </c>
      <c r="C7" s="13">
        <v>458533361.48000002</v>
      </c>
      <c r="D7" s="13">
        <v>45971451.519999981</v>
      </c>
      <c r="E7" s="13">
        <v>11531614.439999999</v>
      </c>
      <c r="F7" s="13">
        <v>10946097</v>
      </c>
      <c r="G7" s="14">
        <v>4.2</v>
      </c>
      <c r="H7" s="14">
        <v>1.05</v>
      </c>
      <c r="I7" s="13">
        <v>960967.87</v>
      </c>
      <c r="J7" s="15">
        <v>6</v>
      </c>
      <c r="K7" s="13">
        <v>40205644.299999982</v>
      </c>
      <c r="L7" s="13">
        <v>4013209.5866666636</v>
      </c>
      <c r="M7" s="13">
        <v>3101034.8366666636</v>
      </c>
      <c r="N7" s="179">
        <v>43831</v>
      </c>
      <c r="O7" s="16">
        <v>46023</v>
      </c>
      <c r="P7" s="13">
        <v>183627.61</v>
      </c>
      <c r="Q7" s="222" t="e">
        <v>#VALUE!</v>
      </c>
    </row>
    <row r="8" spans="1:17" x14ac:dyDescent="0.2">
      <c r="A8" s="4" t="s">
        <v>26</v>
      </c>
      <c r="B8" s="13">
        <v>124445693.39</v>
      </c>
      <c r="C8" s="13">
        <v>109598447.56</v>
      </c>
      <c r="D8" s="13">
        <v>14847245.829999998</v>
      </c>
      <c r="E8" s="13">
        <v>5141991.54</v>
      </c>
      <c r="F8" s="13">
        <v>3545933</v>
      </c>
      <c r="G8" s="14">
        <v>4.1900000000000004</v>
      </c>
      <c r="H8" s="14">
        <v>1.45</v>
      </c>
      <c r="I8" s="13">
        <v>428499.29499999998</v>
      </c>
      <c r="J8" s="15">
        <v>6</v>
      </c>
      <c r="K8" s="13">
        <v>12276250.059999999</v>
      </c>
      <c r="L8" s="13">
        <v>1292563.3049999997</v>
      </c>
      <c r="M8" s="13">
        <v>997068.88833333307</v>
      </c>
      <c r="N8" s="179">
        <v>43831</v>
      </c>
      <c r="O8" s="16">
        <v>46023</v>
      </c>
      <c r="P8" s="13">
        <v>60599.51</v>
      </c>
      <c r="Q8" s="222" t="e">
        <v>#VALUE!</v>
      </c>
    </row>
    <row r="9" spans="1:17" x14ac:dyDescent="0.2">
      <c r="A9" s="4" t="s">
        <v>27</v>
      </c>
      <c r="B9" s="13">
        <v>872347192</v>
      </c>
      <c r="C9" s="13">
        <v>794261309.60000002</v>
      </c>
      <c r="D9" s="13">
        <v>78085882.399999976</v>
      </c>
      <c r="E9" s="13">
        <v>17287576.140000001</v>
      </c>
      <c r="F9" s="13">
        <v>19090913</v>
      </c>
      <c r="G9" s="14">
        <v>4.09</v>
      </c>
      <c r="H9" s="14">
        <v>0.91</v>
      </c>
      <c r="I9" s="13">
        <v>1440631.345</v>
      </c>
      <c r="J9" s="15">
        <v>3</v>
      </c>
      <c r="K9" s="13">
        <v>73763988.36499998</v>
      </c>
      <c r="L9" s="13">
        <v>13301352.133333325</v>
      </c>
      <c r="M9" s="13">
        <v>10119533.299999991</v>
      </c>
      <c r="N9" s="179">
        <v>43739</v>
      </c>
      <c r="O9" s="16">
        <v>45931</v>
      </c>
      <c r="P9" s="13">
        <v>1498671.03</v>
      </c>
      <c r="Q9" s="222" t="e">
        <v>#VALUE!</v>
      </c>
    </row>
    <row r="10" spans="1:17" x14ac:dyDescent="0.2">
      <c r="A10" s="4" t="s">
        <v>32</v>
      </c>
      <c r="B10" s="13">
        <v>1194714205.73</v>
      </c>
      <c r="C10" s="13">
        <v>1086800636.95</v>
      </c>
      <c r="D10" s="13">
        <v>107913568.77999997</v>
      </c>
      <c r="E10" s="13">
        <v>22060944.870000001</v>
      </c>
      <c r="F10" s="13">
        <v>26571929</v>
      </c>
      <c r="G10" s="14">
        <v>4.0599999999999996</v>
      </c>
      <c r="H10" s="14">
        <v>0.83</v>
      </c>
      <c r="I10" s="13">
        <v>1838412.0725</v>
      </c>
      <c r="J10" s="15">
        <v>0</v>
      </c>
      <c r="K10" s="13">
        <v>107913568.77999997</v>
      </c>
      <c r="L10" s="13" t="s">
        <v>20</v>
      </c>
      <c r="M10" s="13" t="s">
        <v>20</v>
      </c>
      <c r="N10" s="179">
        <v>43647</v>
      </c>
      <c r="O10" s="16">
        <v>45839</v>
      </c>
      <c r="P10" s="13">
        <v>1660249</v>
      </c>
      <c r="Q10" s="222" t="e">
        <v>#VALUE!</v>
      </c>
    </row>
    <row r="11" spans="1:17" x14ac:dyDescent="0.2">
      <c r="A11" s="4" t="s">
        <v>28</v>
      </c>
      <c r="B11" s="13">
        <v>1966895481</v>
      </c>
      <c r="C11" s="13">
        <v>1878382798.6300001</v>
      </c>
      <c r="D11" s="13">
        <v>88512682.369999886</v>
      </c>
      <c r="E11" s="13">
        <v>21499986.25</v>
      </c>
      <c r="F11" s="13">
        <v>21788490</v>
      </c>
      <c r="G11" s="14">
        <v>4.0599999999999996</v>
      </c>
      <c r="H11" s="14">
        <v>0.99</v>
      </c>
      <c r="I11" s="13">
        <v>1791665.5208333333</v>
      </c>
      <c r="J11" s="15">
        <v>0</v>
      </c>
      <c r="K11" s="13">
        <v>88512682.369999886</v>
      </c>
      <c r="L11" s="13" t="s">
        <v>20</v>
      </c>
      <c r="M11" s="13" t="s">
        <v>20</v>
      </c>
      <c r="N11" s="179">
        <v>43647</v>
      </c>
      <c r="O11" s="16">
        <v>45839</v>
      </c>
      <c r="P11" s="13">
        <v>1438686.42</v>
      </c>
      <c r="Q11" s="222" t="e">
        <v>#VALUE!</v>
      </c>
    </row>
    <row r="12" spans="1:17" x14ac:dyDescent="0.2">
      <c r="A12" s="4" t="s">
        <v>39</v>
      </c>
      <c r="B12" s="13">
        <v>511163315.91000003</v>
      </c>
      <c r="C12" s="13">
        <v>468219559.33999997</v>
      </c>
      <c r="D12" s="13">
        <v>42943756.570000052</v>
      </c>
      <c r="E12" s="13">
        <v>6777143.7999999998</v>
      </c>
      <c r="F12" s="13">
        <v>10598087</v>
      </c>
      <c r="G12" s="14">
        <v>4.05</v>
      </c>
      <c r="H12" s="14">
        <v>0.64</v>
      </c>
      <c r="I12" s="13">
        <v>564761.98333333328</v>
      </c>
      <c r="J12" s="15">
        <v>0</v>
      </c>
      <c r="K12" s="13">
        <v>42943756.570000052</v>
      </c>
      <c r="L12" s="13" t="s">
        <v>20</v>
      </c>
      <c r="M12" s="13" t="s">
        <v>20</v>
      </c>
      <c r="N12" s="179">
        <v>43647</v>
      </c>
      <c r="O12" s="16">
        <v>45839</v>
      </c>
      <c r="P12" s="13">
        <v>444569.43</v>
      </c>
      <c r="Q12" s="222" t="e">
        <v>#VALUE!</v>
      </c>
    </row>
    <row r="13" spans="1:17" x14ac:dyDescent="0.2">
      <c r="A13" s="4" t="s">
        <v>35</v>
      </c>
      <c r="B13" s="13">
        <v>813673223</v>
      </c>
      <c r="C13" s="13">
        <v>735066989.62</v>
      </c>
      <c r="D13" s="13">
        <v>78606233.379999995</v>
      </c>
      <c r="E13" s="13">
        <v>12345257.49</v>
      </c>
      <c r="F13" s="13">
        <v>19453948</v>
      </c>
      <c r="G13" s="14">
        <v>4.04</v>
      </c>
      <c r="H13" s="14">
        <v>0.63</v>
      </c>
      <c r="I13" s="13">
        <v>1028771.4575</v>
      </c>
      <c r="J13" s="15">
        <v>0</v>
      </c>
      <c r="K13" s="13">
        <v>78606233.379999995</v>
      </c>
      <c r="L13" s="13" t="s">
        <v>20</v>
      </c>
      <c r="M13" s="13" t="s">
        <v>20</v>
      </c>
      <c r="N13" s="179">
        <v>43647</v>
      </c>
      <c r="O13" s="16">
        <v>45839</v>
      </c>
      <c r="P13" s="13">
        <v>1748771.46</v>
      </c>
      <c r="Q13" s="222" t="e">
        <v>#VALUE!</v>
      </c>
    </row>
    <row r="14" spans="1:17" x14ac:dyDescent="0.2">
      <c r="A14" s="4" t="s">
        <v>23</v>
      </c>
      <c r="B14" s="13">
        <v>1365257298.0599999</v>
      </c>
      <c r="C14" s="13">
        <v>1249076674.76</v>
      </c>
      <c r="D14" s="13">
        <v>116180623.29999995</v>
      </c>
      <c r="E14" s="13">
        <v>57336463.579999998</v>
      </c>
      <c r="F14" s="13">
        <v>28988172</v>
      </c>
      <c r="G14" s="14">
        <v>4.01</v>
      </c>
      <c r="H14" s="14">
        <v>1.98</v>
      </c>
      <c r="I14" s="13">
        <v>4778038.6316666668</v>
      </c>
      <c r="J14" s="15">
        <v>6</v>
      </c>
      <c r="K14" s="13">
        <v>87512391.509999961</v>
      </c>
      <c r="L14" s="13">
        <v>9700713.2166666593</v>
      </c>
      <c r="M14" s="13">
        <v>7285032.2166666584</v>
      </c>
      <c r="N14" s="179">
        <v>43831</v>
      </c>
      <c r="O14" s="16">
        <v>46023</v>
      </c>
      <c r="P14" s="13">
        <v>2780867.15</v>
      </c>
      <c r="Q14" s="222" t="e">
        <v>#VALUE!</v>
      </c>
    </row>
    <row r="15" spans="1:17" x14ac:dyDescent="0.2">
      <c r="A15" s="4" t="s">
        <v>25</v>
      </c>
      <c r="B15" s="13">
        <v>271317340</v>
      </c>
      <c r="C15" s="13">
        <v>248154893.91</v>
      </c>
      <c r="D15" s="13">
        <v>23162446.090000004</v>
      </c>
      <c r="E15" s="13">
        <v>7728494.79</v>
      </c>
      <c r="F15" s="13">
        <v>6196840</v>
      </c>
      <c r="G15" s="14">
        <v>3.74</v>
      </c>
      <c r="H15" s="14">
        <v>1.25</v>
      </c>
      <c r="I15" s="13">
        <v>644041.23250000004</v>
      </c>
      <c r="J15" s="15">
        <v>9</v>
      </c>
      <c r="K15" s="13">
        <v>17366074.997500002</v>
      </c>
      <c r="L15" s="13">
        <v>1196529.565555556</v>
      </c>
      <c r="M15" s="13">
        <v>852260.6766666671</v>
      </c>
      <c r="N15" s="179">
        <v>43922</v>
      </c>
      <c r="O15" s="16">
        <v>46113</v>
      </c>
      <c r="P15" s="13">
        <v>470759.15</v>
      </c>
      <c r="Q15" s="222" t="e">
        <v>#VALUE!</v>
      </c>
    </row>
    <row r="16" spans="1:17" x14ac:dyDescent="0.2">
      <c r="A16" s="4" t="s">
        <v>40</v>
      </c>
      <c r="B16" s="13">
        <v>208940278.25</v>
      </c>
      <c r="C16" s="13">
        <v>187649626.08000001</v>
      </c>
      <c r="D16" s="13">
        <v>21290652.169999987</v>
      </c>
      <c r="E16" s="13">
        <v>7742212.4299999997</v>
      </c>
      <c r="F16" s="13">
        <v>5755637</v>
      </c>
      <c r="G16" s="14">
        <v>3.7</v>
      </c>
      <c r="H16" s="14">
        <v>1.35</v>
      </c>
      <c r="I16" s="13">
        <v>645184.36916666664</v>
      </c>
      <c r="J16" s="15">
        <v>0</v>
      </c>
      <c r="K16" s="13">
        <v>21290652.169999987</v>
      </c>
      <c r="L16" s="13" t="s">
        <v>20</v>
      </c>
      <c r="M16" s="13" t="s">
        <v>20</v>
      </c>
      <c r="N16" s="179">
        <v>43647</v>
      </c>
      <c r="O16" s="16">
        <v>45839</v>
      </c>
      <c r="P16" s="13">
        <v>0</v>
      </c>
      <c r="Q16" s="222" t="e">
        <v>#VALUE!</v>
      </c>
    </row>
    <row r="17" spans="1:17" x14ac:dyDescent="0.2">
      <c r="A17" s="4" t="s">
        <v>47</v>
      </c>
      <c r="B17" s="13">
        <v>107063879</v>
      </c>
      <c r="C17" s="13">
        <v>97261620.599999994</v>
      </c>
      <c r="D17" s="13">
        <v>9802258.400000006</v>
      </c>
      <c r="E17" s="13">
        <v>1909227.54</v>
      </c>
      <c r="F17" s="13">
        <v>2669761</v>
      </c>
      <c r="G17" s="14">
        <v>3.67</v>
      </c>
      <c r="H17" s="14">
        <v>0.72</v>
      </c>
      <c r="I17" s="13">
        <v>159102.29500000001</v>
      </c>
      <c r="J17" s="15">
        <v>0</v>
      </c>
      <c r="K17" s="13">
        <v>9802258.400000006</v>
      </c>
      <c r="L17" s="13" t="s">
        <v>20</v>
      </c>
      <c r="M17" s="13" t="s">
        <v>20</v>
      </c>
      <c r="N17" s="179">
        <v>43647</v>
      </c>
      <c r="O17" s="16">
        <v>45839</v>
      </c>
      <c r="P17" s="13">
        <v>29185.94</v>
      </c>
      <c r="Q17" s="222" t="e">
        <v>#VALUE!</v>
      </c>
    </row>
    <row r="18" spans="1:17" x14ac:dyDescent="0.2">
      <c r="A18" s="4" t="s">
        <v>44</v>
      </c>
      <c r="B18" s="13">
        <v>307409614.24000001</v>
      </c>
      <c r="C18" s="13">
        <v>282349391.45999998</v>
      </c>
      <c r="D18" s="13">
        <v>25060222.780000031</v>
      </c>
      <c r="E18" s="13">
        <v>4509252.93</v>
      </c>
      <c r="F18" s="13">
        <v>6878551</v>
      </c>
      <c r="G18" s="14">
        <v>3.64</v>
      </c>
      <c r="H18" s="14">
        <v>0.66</v>
      </c>
      <c r="I18" s="13">
        <v>375771.07749999996</v>
      </c>
      <c r="J18" s="15">
        <v>0</v>
      </c>
      <c r="K18" s="13">
        <v>25060222.780000031</v>
      </c>
      <c r="L18" s="13" t="s">
        <v>20</v>
      </c>
      <c r="M18" s="13" t="s">
        <v>20</v>
      </c>
      <c r="N18" s="179">
        <v>43647</v>
      </c>
      <c r="O18" s="16">
        <v>45839</v>
      </c>
      <c r="P18" s="13">
        <v>63809.120000000003</v>
      </c>
      <c r="Q18" s="222" t="e">
        <v>#VALUE!</v>
      </c>
    </row>
    <row r="19" spans="1:17" x14ac:dyDescent="0.2">
      <c r="A19" s="4" t="s">
        <v>30</v>
      </c>
      <c r="B19" s="13">
        <v>1042589157.45</v>
      </c>
      <c r="C19" s="13">
        <v>970890377.20000005</v>
      </c>
      <c r="D19" s="13">
        <v>71698780.25</v>
      </c>
      <c r="E19" s="13">
        <v>19832109.16</v>
      </c>
      <c r="F19" s="13">
        <v>20158365</v>
      </c>
      <c r="G19" s="14">
        <v>3.56</v>
      </c>
      <c r="H19" s="14">
        <v>0.98</v>
      </c>
      <c r="I19" s="13">
        <v>1652675.7633333334</v>
      </c>
      <c r="J19" s="15">
        <v>9</v>
      </c>
      <c r="K19" s="13">
        <v>56824698.379999995</v>
      </c>
      <c r="L19" s="13">
        <v>3486894.472222222</v>
      </c>
      <c r="M19" s="13">
        <v>2366985.3055555555</v>
      </c>
      <c r="N19" s="179">
        <v>43922</v>
      </c>
      <c r="O19" s="16">
        <v>46113</v>
      </c>
      <c r="P19" s="13">
        <v>1528789</v>
      </c>
      <c r="Q19" s="222" t="e">
        <v>#VALUE!</v>
      </c>
    </row>
    <row r="20" spans="1:17" x14ac:dyDescent="0.2">
      <c r="A20" s="4" t="s">
        <v>36</v>
      </c>
      <c r="B20" s="13">
        <v>402118853.93000001</v>
      </c>
      <c r="C20" s="13">
        <v>369451794.64999998</v>
      </c>
      <c r="D20" s="13">
        <v>32667059.280000031</v>
      </c>
      <c r="E20" s="13">
        <v>6639968.3099999996</v>
      </c>
      <c r="F20" s="13">
        <v>9522686</v>
      </c>
      <c r="G20" s="14">
        <v>3.43</v>
      </c>
      <c r="H20" s="14">
        <v>0.7</v>
      </c>
      <c r="I20" s="13">
        <v>553330.6925</v>
      </c>
      <c r="J20" s="15">
        <v>9</v>
      </c>
      <c r="K20" s="13">
        <v>27687083.047500029</v>
      </c>
      <c r="L20" s="13">
        <v>1513520.8088888924</v>
      </c>
      <c r="M20" s="13">
        <v>984482.69777778117</v>
      </c>
      <c r="N20" s="179">
        <v>43556</v>
      </c>
      <c r="O20" s="16">
        <v>46113</v>
      </c>
      <c r="P20" s="13">
        <v>205701.71</v>
      </c>
      <c r="Q20" s="222" t="e">
        <v>#VALUE!</v>
      </c>
    </row>
    <row r="21" spans="1:17" x14ac:dyDescent="0.2">
      <c r="A21" s="4" t="s">
        <v>33</v>
      </c>
      <c r="B21" s="13">
        <v>1033187132</v>
      </c>
      <c r="C21" s="13">
        <v>957122951.54999995</v>
      </c>
      <c r="D21" s="13">
        <v>76064180.450000048</v>
      </c>
      <c r="E21" s="13">
        <v>22629375.100000001</v>
      </c>
      <c r="F21" s="13">
        <v>22862412</v>
      </c>
      <c r="G21" s="14">
        <v>3.33</v>
      </c>
      <c r="H21" s="14">
        <v>0.99</v>
      </c>
      <c r="I21" s="13">
        <v>1885781.2583333335</v>
      </c>
      <c r="J21" s="15">
        <v>9</v>
      </c>
      <c r="K21" s="13">
        <v>59092149.125000045</v>
      </c>
      <c r="L21" s="13">
        <v>3371039.6055555609</v>
      </c>
      <c r="M21" s="13">
        <v>2100905.6055555609</v>
      </c>
      <c r="N21" s="179">
        <v>43922</v>
      </c>
      <c r="O21" s="16">
        <v>46113</v>
      </c>
      <c r="P21" s="13">
        <v>1150559.99</v>
      </c>
      <c r="Q21" s="222" t="e">
        <v>#VALUE!</v>
      </c>
    </row>
    <row r="22" spans="1:17" x14ac:dyDescent="0.2">
      <c r="A22" s="4" t="s">
        <v>37</v>
      </c>
      <c r="B22" s="13">
        <v>190999038.36000001</v>
      </c>
      <c r="C22" s="13">
        <v>179600132.06999999</v>
      </c>
      <c r="D22" s="13">
        <v>11398906.290000021</v>
      </c>
      <c r="E22" s="13">
        <v>5777246.7699999996</v>
      </c>
      <c r="F22" s="13">
        <v>3551615</v>
      </c>
      <c r="G22" s="14">
        <v>3.21</v>
      </c>
      <c r="H22" s="14">
        <v>1.63</v>
      </c>
      <c r="I22" s="13">
        <v>481437.23083333328</v>
      </c>
      <c r="J22" s="15">
        <v>0</v>
      </c>
      <c r="K22" s="13">
        <v>11398906.290000021</v>
      </c>
      <c r="L22" s="13" t="s">
        <v>20</v>
      </c>
      <c r="M22" s="13" t="s">
        <v>20</v>
      </c>
      <c r="N22" s="179">
        <v>43647</v>
      </c>
      <c r="O22" s="16">
        <v>45839</v>
      </c>
      <c r="P22" s="13">
        <v>491180.83</v>
      </c>
      <c r="Q22" s="222" t="e">
        <v>#VALUE!</v>
      </c>
    </row>
    <row r="23" spans="1:17" x14ac:dyDescent="0.2">
      <c r="A23" s="4" t="s">
        <v>51</v>
      </c>
      <c r="B23" s="13">
        <v>1083940953</v>
      </c>
      <c r="C23" s="13">
        <v>1006670882.92</v>
      </c>
      <c r="D23" s="13">
        <v>77270070.080000043</v>
      </c>
      <c r="E23" s="13">
        <v>19386437.800000001</v>
      </c>
      <c r="F23" s="13">
        <v>24208645</v>
      </c>
      <c r="G23" s="14">
        <v>3.19</v>
      </c>
      <c r="H23" s="14">
        <v>0.8</v>
      </c>
      <c r="I23" s="13">
        <v>1615536.4833333334</v>
      </c>
      <c r="J23" s="15">
        <v>6</v>
      </c>
      <c r="K23" s="13">
        <v>67576851.180000037</v>
      </c>
      <c r="L23" s="13">
        <v>4808796.6800000072</v>
      </c>
      <c r="M23" s="13">
        <v>2791409.5966666737</v>
      </c>
      <c r="N23" s="179">
        <v>43831</v>
      </c>
      <c r="O23" s="16">
        <v>46023</v>
      </c>
      <c r="P23" s="13">
        <v>1879366.43</v>
      </c>
      <c r="Q23" s="222" t="e">
        <v>#VALUE!</v>
      </c>
    </row>
    <row r="24" spans="1:17" x14ac:dyDescent="0.2">
      <c r="A24" s="4" t="s">
        <v>55</v>
      </c>
      <c r="B24" s="13">
        <v>689945660</v>
      </c>
      <c r="C24" s="13">
        <v>642578103.62</v>
      </c>
      <c r="D24" s="13">
        <v>47367556.379999995</v>
      </c>
      <c r="E24" s="13">
        <v>9028561.3599999994</v>
      </c>
      <c r="F24" s="13">
        <v>14901309</v>
      </c>
      <c r="G24" s="14">
        <v>3.18</v>
      </c>
      <c r="H24" s="14">
        <v>0.61</v>
      </c>
      <c r="I24" s="13">
        <v>752380.11333333328</v>
      </c>
      <c r="J24" s="15">
        <v>6</v>
      </c>
      <c r="K24" s="13">
        <v>42853275.699999996</v>
      </c>
      <c r="L24" s="13">
        <v>2927489.7299999991</v>
      </c>
      <c r="M24" s="13">
        <v>1685713.9799999993</v>
      </c>
      <c r="N24" s="179">
        <v>43466</v>
      </c>
      <c r="O24" s="16">
        <v>46023</v>
      </c>
      <c r="P24" s="13">
        <v>494896.09</v>
      </c>
      <c r="Q24" s="222" t="e">
        <v>#VALUE!</v>
      </c>
    </row>
    <row r="25" spans="1:17" x14ac:dyDescent="0.2">
      <c r="A25" s="4" t="s">
        <v>46</v>
      </c>
      <c r="B25" s="13">
        <v>321862947.48000002</v>
      </c>
      <c r="C25" s="13">
        <v>298331380.38999999</v>
      </c>
      <c r="D25" s="13">
        <v>23531567.090000033</v>
      </c>
      <c r="E25" s="13">
        <v>8227209.8899999997</v>
      </c>
      <c r="F25" s="13">
        <v>7416560</v>
      </c>
      <c r="G25" s="14">
        <v>3.17</v>
      </c>
      <c r="H25" s="14">
        <v>1.1100000000000001</v>
      </c>
      <c r="I25" s="13">
        <v>685600.8241666666</v>
      </c>
      <c r="J25" s="15">
        <v>0</v>
      </c>
      <c r="K25" s="13">
        <v>23531567.090000033</v>
      </c>
      <c r="L25" s="13" t="s">
        <v>20</v>
      </c>
      <c r="M25" s="13" t="s">
        <v>20</v>
      </c>
      <c r="N25" s="179">
        <v>43647</v>
      </c>
      <c r="O25" s="16">
        <v>45839</v>
      </c>
      <c r="P25" s="13">
        <v>41091.870000000003</v>
      </c>
      <c r="Q25" s="222" t="e">
        <v>#VALUE!</v>
      </c>
    </row>
    <row r="26" spans="1:17" x14ac:dyDescent="0.2">
      <c r="A26" s="4" t="s">
        <v>34</v>
      </c>
      <c r="B26" s="13">
        <v>1468177330.9100001</v>
      </c>
      <c r="C26" s="13">
        <v>1374672057.6900001</v>
      </c>
      <c r="D26" s="13">
        <v>93505273.220000029</v>
      </c>
      <c r="E26" s="13">
        <v>47717441.640000001</v>
      </c>
      <c r="F26" s="13">
        <v>29748591</v>
      </c>
      <c r="G26" s="14">
        <v>3.14</v>
      </c>
      <c r="H26" s="14">
        <v>1.6</v>
      </c>
      <c r="I26" s="13">
        <v>3976453.47</v>
      </c>
      <c r="J26" s="15">
        <v>0</v>
      </c>
      <c r="K26" s="13">
        <v>93505273.220000029</v>
      </c>
      <c r="L26" s="13" t="s">
        <v>20</v>
      </c>
      <c r="M26" s="13" t="s">
        <v>20</v>
      </c>
      <c r="N26" s="179">
        <v>43647</v>
      </c>
      <c r="O26" s="16">
        <v>45839</v>
      </c>
      <c r="P26" s="13">
        <v>4523263.79</v>
      </c>
      <c r="Q26" s="222" t="e">
        <v>#VALUE!</v>
      </c>
    </row>
    <row r="27" spans="1:17" x14ac:dyDescent="0.2">
      <c r="A27" s="4" t="s">
        <v>49</v>
      </c>
      <c r="B27" s="13">
        <v>1263148065.8299999</v>
      </c>
      <c r="C27" s="13">
        <v>1188965685.6400001</v>
      </c>
      <c r="D27" s="13">
        <v>74182380.189999819</v>
      </c>
      <c r="E27" s="13">
        <v>19013331.52</v>
      </c>
      <c r="F27" s="13">
        <v>23759923</v>
      </c>
      <c r="G27" s="14">
        <v>3.12</v>
      </c>
      <c r="H27" s="14">
        <v>0.8</v>
      </c>
      <c r="I27" s="13">
        <v>1584444.2933333332</v>
      </c>
      <c r="J27" s="15">
        <v>0</v>
      </c>
      <c r="K27" s="13">
        <v>74182380.189999819</v>
      </c>
      <c r="L27" s="13" t="s">
        <v>20</v>
      </c>
      <c r="M27" s="13" t="s">
        <v>20</v>
      </c>
      <c r="N27" s="179">
        <v>43647</v>
      </c>
      <c r="O27" s="16">
        <v>45839</v>
      </c>
      <c r="P27" s="13">
        <v>2444399.9500000002</v>
      </c>
      <c r="Q27" s="222" t="e">
        <v>#VALUE!</v>
      </c>
    </row>
    <row r="28" spans="1:17" x14ac:dyDescent="0.2">
      <c r="A28" s="4" t="s">
        <v>41</v>
      </c>
      <c r="B28" s="13">
        <v>1276422533.53</v>
      </c>
      <c r="C28" s="13">
        <v>1127988965.48</v>
      </c>
      <c r="D28" s="13">
        <v>148433568.04999995</v>
      </c>
      <c r="E28" s="13">
        <v>41093778.899999999</v>
      </c>
      <c r="F28" s="13">
        <v>47644860</v>
      </c>
      <c r="G28" s="14">
        <v>3.12</v>
      </c>
      <c r="H28" s="14">
        <v>0.86</v>
      </c>
      <c r="I28" s="13">
        <v>3424481.5749999997</v>
      </c>
      <c r="J28" s="15">
        <v>6</v>
      </c>
      <c r="K28" s="13">
        <v>127886678.59999995</v>
      </c>
      <c r="L28" s="13">
        <v>8857308.0083333254</v>
      </c>
      <c r="M28" s="13">
        <v>4886903.0083333254</v>
      </c>
      <c r="N28" s="179">
        <v>43831</v>
      </c>
      <c r="O28" s="16">
        <v>46023</v>
      </c>
      <c r="P28" s="13">
        <v>2563521.9900000002</v>
      </c>
      <c r="Q28" s="222" t="e">
        <v>#VALUE!</v>
      </c>
    </row>
    <row r="29" spans="1:17" x14ac:dyDescent="0.2">
      <c r="A29" s="4" t="s">
        <v>50</v>
      </c>
      <c r="B29" s="13">
        <v>1683242657.0699999</v>
      </c>
      <c r="C29" s="13">
        <v>1555709963.47</v>
      </c>
      <c r="D29" s="13">
        <v>127532693.5999999</v>
      </c>
      <c r="E29" s="13">
        <v>31123512.629999999</v>
      </c>
      <c r="F29" s="13">
        <v>40945091</v>
      </c>
      <c r="G29" s="14">
        <v>3.11</v>
      </c>
      <c r="H29" s="14">
        <v>0.76</v>
      </c>
      <c r="I29" s="13">
        <v>2593626.0524999998</v>
      </c>
      <c r="J29" s="15">
        <v>0</v>
      </c>
      <c r="K29" s="13">
        <v>127532693.5999999</v>
      </c>
      <c r="L29" s="13" t="s">
        <v>20</v>
      </c>
      <c r="M29" s="13" t="s">
        <v>20</v>
      </c>
      <c r="N29" s="179">
        <v>43647</v>
      </c>
      <c r="O29" s="16">
        <v>45839</v>
      </c>
      <c r="P29" s="13">
        <v>1619481.95</v>
      </c>
      <c r="Q29" s="222" t="e">
        <v>#VALUE!</v>
      </c>
    </row>
    <row r="30" spans="1:17" x14ac:dyDescent="0.2">
      <c r="A30" s="4" t="s">
        <v>45</v>
      </c>
      <c r="B30" s="13">
        <v>2041893568.29</v>
      </c>
      <c r="C30" s="13">
        <v>1917118641.9400001</v>
      </c>
      <c r="D30" s="13">
        <v>124774926.3499999</v>
      </c>
      <c r="E30" s="13">
        <v>40904618.009999998</v>
      </c>
      <c r="F30" s="13">
        <v>40828727</v>
      </c>
      <c r="G30" s="14">
        <v>3.06</v>
      </c>
      <c r="H30" s="14">
        <v>1</v>
      </c>
      <c r="I30" s="13">
        <v>3408718.1675</v>
      </c>
      <c r="J30" s="15">
        <v>6</v>
      </c>
      <c r="K30" s="13">
        <v>104322617.34499991</v>
      </c>
      <c r="L30" s="13">
        <v>7186245.3916666508</v>
      </c>
      <c r="M30" s="13">
        <v>3783851.4749999843</v>
      </c>
      <c r="N30" s="179">
        <v>43831</v>
      </c>
      <c r="O30" s="16">
        <v>46023</v>
      </c>
      <c r="P30" s="13">
        <v>2350149.79</v>
      </c>
      <c r="Q30" s="222" t="e">
        <v>#VALUE!</v>
      </c>
    </row>
    <row r="31" spans="1:17" x14ac:dyDescent="0.2">
      <c r="A31" s="4" t="s">
        <v>29</v>
      </c>
      <c r="B31" s="13">
        <v>817050825.05999994</v>
      </c>
      <c r="C31" s="13">
        <v>764329888.75999999</v>
      </c>
      <c r="D31" s="13">
        <v>52720936.299999952</v>
      </c>
      <c r="E31" s="13">
        <v>26807112.43</v>
      </c>
      <c r="F31" s="13">
        <v>17644408</v>
      </c>
      <c r="G31" s="14">
        <v>2.99</v>
      </c>
      <c r="H31" s="14">
        <v>1.52</v>
      </c>
      <c r="I31" s="13">
        <v>2233926.0358333332</v>
      </c>
      <c r="J31" s="15">
        <v>0</v>
      </c>
      <c r="K31" s="13">
        <v>52720936.299999952</v>
      </c>
      <c r="L31" s="13" t="s">
        <v>20</v>
      </c>
      <c r="M31" s="13" t="s">
        <v>20</v>
      </c>
      <c r="N31" s="179">
        <v>43647</v>
      </c>
      <c r="O31" s="16">
        <v>45839</v>
      </c>
      <c r="P31" s="13">
        <v>1550527.1</v>
      </c>
      <c r="Q31" s="222" t="e">
        <v>#VALUE!</v>
      </c>
    </row>
    <row r="32" spans="1:17" x14ac:dyDescent="0.2">
      <c r="A32" s="4" t="s">
        <v>43</v>
      </c>
      <c r="B32" s="13">
        <v>259883413</v>
      </c>
      <c r="C32" s="13">
        <v>243099732.75</v>
      </c>
      <c r="D32" s="13">
        <v>16783680.25</v>
      </c>
      <c r="E32" s="13">
        <v>7717405.2699999996</v>
      </c>
      <c r="F32" s="13">
        <v>5643956</v>
      </c>
      <c r="G32" s="14">
        <v>2.97</v>
      </c>
      <c r="H32" s="14">
        <v>1.37</v>
      </c>
      <c r="I32" s="13">
        <v>643117.10583333333</v>
      </c>
      <c r="J32" s="15">
        <v>6</v>
      </c>
      <c r="K32" s="13">
        <v>12924977.615</v>
      </c>
      <c r="L32" s="13">
        <v>915961.375</v>
      </c>
      <c r="M32" s="13" t="s">
        <v>42</v>
      </c>
      <c r="N32" s="179">
        <v>43831</v>
      </c>
      <c r="O32" s="16">
        <v>46023</v>
      </c>
      <c r="P32" s="13">
        <v>0</v>
      </c>
      <c r="Q32" s="222" t="e">
        <v>#VALUE!</v>
      </c>
    </row>
    <row r="33" spans="1:17" x14ac:dyDescent="0.2">
      <c r="A33" s="4" t="s">
        <v>38</v>
      </c>
      <c r="B33" s="13">
        <v>542289730.02999997</v>
      </c>
      <c r="C33" s="13">
        <v>502461623.97000003</v>
      </c>
      <c r="D33" s="13">
        <v>39828106.059999943</v>
      </c>
      <c r="E33" s="13">
        <v>12280759.24</v>
      </c>
      <c r="F33" s="13">
        <v>13960891</v>
      </c>
      <c r="G33" s="14">
        <v>2.85</v>
      </c>
      <c r="H33" s="14">
        <v>0.88</v>
      </c>
      <c r="I33" s="13">
        <v>1023396.6033333334</v>
      </c>
      <c r="J33" s="15">
        <v>0</v>
      </c>
      <c r="K33" s="13">
        <v>39828106.059999943</v>
      </c>
      <c r="L33" s="13" t="s">
        <v>20</v>
      </c>
      <c r="M33" s="13" t="s">
        <v>20</v>
      </c>
      <c r="N33" s="179">
        <v>43647</v>
      </c>
      <c r="O33" s="16">
        <v>45839</v>
      </c>
      <c r="P33" s="13">
        <v>4512735.43</v>
      </c>
      <c r="Q33" s="222" t="e">
        <v>#VALUE!</v>
      </c>
    </row>
    <row r="34" spans="1:17" x14ac:dyDescent="0.2">
      <c r="A34" s="4" t="s">
        <v>56</v>
      </c>
      <c r="B34" s="13">
        <v>1182377479</v>
      </c>
      <c r="C34" s="13">
        <v>1105588425</v>
      </c>
      <c r="D34" s="13">
        <v>76789054</v>
      </c>
      <c r="E34" s="13">
        <v>23583511.420000002</v>
      </c>
      <c r="F34" s="13">
        <v>27472066</v>
      </c>
      <c r="G34" s="14">
        <v>2.8</v>
      </c>
      <c r="H34" s="14">
        <v>0.86</v>
      </c>
      <c r="I34" s="13">
        <v>1965292.6183333334</v>
      </c>
      <c r="J34" s="15">
        <v>0</v>
      </c>
      <c r="K34" s="13">
        <v>76789054</v>
      </c>
      <c r="L34" s="13" t="s">
        <v>20</v>
      </c>
      <c r="M34" s="13" t="s">
        <v>20</v>
      </c>
      <c r="N34" s="179">
        <v>43647</v>
      </c>
      <c r="O34" s="16">
        <v>45839</v>
      </c>
      <c r="P34" s="13">
        <v>3944235.13</v>
      </c>
      <c r="Q34" s="222" t="e">
        <v>#VALUE!</v>
      </c>
    </row>
    <row r="35" spans="1:17" x14ac:dyDescent="0.2">
      <c r="A35" s="4" t="s">
        <v>52</v>
      </c>
      <c r="B35" s="13">
        <v>535148479</v>
      </c>
      <c r="C35" s="13">
        <v>500188900.70999998</v>
      </c>
      <c r="D35" s="13">
        <v>34959578.290000021</v>
      </c>
      <c r="E35" s="13">
        <v>10895871.939999999</v>
      </c>
      <c r="F35" s="13">
        <v>13099382</v>
      </c>
      <c r="G35" s="14">
        <v>2.67</v>
      </c>
      <c r="H35" s="14">
        <v>0.83</v>
      </c>
      <c r="I35" s="13">
        <v>907989.32833333325</v>
      </c>
      <c r="J35" s="15">
        <v>0</v>
      </c>
      <c r="K35" s="13">
        <v>34959578.290000021</v>
      </c>
      <c r="L35" s="13" t="s">
        <v>20</v>
      </c>
      <c r="M35" s="13" t="s">
        <v>20</v>
      </c>
      <c r="N35" s="179">
        <v>43647</v>
      </c>
      <c r="O35" s="16">
        <v>45839</v>
      </c>
      <c r="P35" s="13">
        <v>1089290.42</v>
      </c>
      <c r="Q35" s="222" t="e">
        <v>#VALUE!</v>
      </c>
    </row>
    <row r="36" spans="1:17" x14ac:dyDescent="0.2">
      <c r="A36" s="4" t="s">
        <v>64</v>
      </c>
      <c r="B36" s="13">
        <v>355494147</v>
      </c>
      <c r="C36" s="13">
        <v>330781197.51999998</v>
      </c>
      <c r="D36" s="13">
        <v>24712949.480000019</v>
      </c>
      <c r="E36" s="13">
        <v>8495625.0399999991</v>
      </c>
      <c r="F36" s="13">
        <v>9435207</v>
      </c>
      <c r="G36" s="14">
        <v>2.62</v>
      </c>
      <c r="H36" s="14">
        <v>0.9</v>
      </c>
      <c r="I36" s="13">
        <v>707968.7533333333</v>
      </c>
      <c r="J36" s="15">
        <v>6</v>
      </c>
      <c r="K36" s="13">
        <v>20465136.96000002</v>
      </c>
      <c r="L36" s="13">
        <v>973755.91333333647</v>
      </c>
      <c r="M36" s="13" t="s">
        <v>42</v>
      </c>
      <c r="N36" s="179">
        <v>43831</v>
      </c>
      <c r="O36" s="16">
        <v>46023</v>
      </c>
      <c r="P36" s="13">
        <v>622623.72</v>
      </c>
      <c r="Q36" s="222" t="e">
        <v>#VALUE!</v>
      </c>
    </row>
    <row r="37" spans="1:17" x14ac:dyDescent="0.2">
      <c r="A37" s="4" t="s">
        <v>63</v>
      </c>
      <c r="B37" s="13">
        <v>1340428223.5599999</v>
      </c>
      <c r="C37" s="13">
        <v>1261888114.1700001</v>
      </c>
      <c r="D37" s="13">
        <v>78540109.389999866</v>
      </c>
      <c r="E37" s="13">
        <v>21950011.050000001</v>
      </c>
      <c r="F37" s="13">
        <v>30689455</v>
      </c>
      <c r="G37" s="14">
        <v>2.56</v>
      </c>
      <c r="H37" s="14">
        <v>0.72</v>
      </c>
      <c r="I37" s="13">
        <v>1829167.5875000001</v>
      </c>
      <c r="J37" s="15">
        <v>0</v>
      </c>
      <c r="K37" s="13">
        <v>78540109.389999866</v>
      </c>
      <c r="L37" s="13" t="s">
        <v>20</v>
      </c>
      <c r="M37" s="13" t="s">
        <v>20</v>
      </c>
      <c r="N37" s="179">
        <v>43647</v>
      </c>
      <c r="O37" s="16">
        <v>45839</v>
      </c>
      <c r="P37" s="13">
        <v>2338823.88</v>
      </c>
      <c r="Q37" s="222" t="e">
        <v>#VALUE!</v>
      </c>
    </row>
    <row r="38" spans="1:17" x14ac:dyDescent="0.2">
      <c r="A38" s="4" t="s">
        <v>53</v>
      </c>
      <c r="B38" s="13">
        <v>2950491414.54</v>
      </c>
      <c r="C38" s="13">
        <v>2770868203.1599998</v>
      </c>
      <c r="D38" s="13">
        <v>179623211.38000011</v>
      </c>
      <c r="E38" s="13">
        <v>64890439.719999999</v>
      </c>
      <c r="F38" s="13">
        <v>71178309</v>
      </c>
      <c r="G38" s="14">
        <v>2.52</v>
      </c>
      <c r="H38" s="14">
        <v>0.91</v>
      </c>
      <c r="I38" s="13">
        <v>5407536.6433333335</v>
      </c>
      <c r="J38" s="15">
        <v>2</v>
      </c>
      <c r="K38" s="13">
        <v>168808138.09333345</v>
      </c>
      <c r="L38" s="13">
        <v>18633296.690000057</v>
      </c>
      <c r="M38" s="13" t="s">
        <v>42</v>
      </c>
      <c r="N38" s="179">
        <v>44075</v>
      </c>
      <c r="O38" s="16">
        <v>45901</v>
      </c>
      <c r="P38" s="13">
        <v>6912623.9800000004</v>
      </c>
      <c r="Q38" s="222" t="e">
        <v>#VALUE!</v>
      </c>
    </row>
    <row r="39" spans="1:17" x14ac:dyDescent="0.2">
      <c r="A39" s="4" t="s">
        <v>61</v>
      </c>
      <c r="B39" s="13">
        <v>1108314599.5</v>
      </c>
      <c r="C39" s="13">
        <v>1051787730.76</v>
      </c>
      <c r="D39" s="13">
        <v>56526868.74000001</v>
      </c>
      <c r="E39" s="13">
        <v>19663777.59</v>
      </c>
      <c r="F39" s="13">
        <v>23039495</v>
      </c>
      <c r="G39" s="14">
        <v>2.4500000000000002</v>
      </c>
      <c r="H39" s="14">
        <v>0.85</v>
      </c>
      <c r="I39" s="13">
        <v>1638648.1325000001</v>
      </c>
      <c r="J39" s="15">
        <v>9</v>
      </c>
      <c r="K39" s="13">
        <v>41779035.547500007</v>
      </c>
      <c r="L39" s="13" t="s">
        <v>42</v>
      </c>
      <c r="M39" s="13" t="s">
        <v>42</v>
      </c>
      <c r="N39" s="179">
        <v>43556</v>
      </c>
      <c r="O39" s="16">
        <v>46113</v>
      </c>
      <c r="P39" s="13">
        <v>1628489.15</v>
      </c>
      <c r="Q39" s="222" t="e">
        <v>#VALUE!</v>
      </c>
    </row>
    <row r="40" spans="1:17" x14ac:dyDescent="0.2">
      <c r="A40" s="4" t="s">
        <v>58</v>
      </c>
      <c r="B40" s="13">
        <v>1227877221</v>
      </c>
      <c r="C40" s="13">
        <v>1173073111.6700001</v>
      </c>
      <c r="D40" s="13">
        <v>54804109.329999924</v>
      </c>
      <c r="E40" s="13">
        <v>18369911.34</v>
      </c>
      <c r="F40" s="13">
        <v>22761731</v>
      </c>
      <c r="G40" s="14">
        <v>2.41</v>
      </c>
      <c r="H40" s="14">
        <v>0.81</v>
      </c>
      <c r="I40" s="13">
        <v>1530825.9450000001</v>
      </c>
      <c r="J40" s="15">
        <v>9</v>
      </c>
      <c r="K40" s="13">
        <v>41026675.824999921</v>
      </c>
      <c r="L40" s="13" t="s">
        <v>42</v>
      </c>
      <c r="M40" s="13" t="s">
        <v>42</v>
      </c>
      <c r="N40" s="179">
        <v>43922</v>
      </c>
      <c r="O40" s="16">
        <v>46113</v>
      </c>
      <c r="P40" s="13">
        <v>800589.75</v>
      </c>
      <c r="Q40" s="222" t="e">
        <v>#VALUE!</v>
      </c>
    </row>
    <row r="41" spans="1:17" x14ac:dyDescent="0.2">
      <c r="A41" s="4" t="s">
        <v>60</v>
      </c>
      <c r="B41" s="13">
        <v>351543186.45999998</v>
      </c>
      <c r="C41" s="13">
        <v>331141661.24000001</v>
      </c>
      <c r="D41" s="13">
        <v>20401525.219999969</v>
      </c>
      <c r="E41" s="13">
        <v>6911736.5199999996</v>
      </c>
      <c r="F41" s="13">
        <v>8658249</v>
      </c>
      <c r="G41" s="14">
        <v>2.36</v>
      </c>
      <c r="H41" s="14">
        <v>0.8</v>
      </c>
      <c r="I41" s="13">
        <v>575978.04333333333</v>
      </c>
      <c r="J41" s="15">
        <v>9</v>
      </c>
      <c r="K41" s="13">
        <v>15217722.829999968</v>
      </c>
      <c r="L41" s="13" t="s">
        <v>42</v>
      </c>
      <c r="M41" s="13" t="s">
        <v>42</v>
      </c>
      <c r="N41" s="179">
        <v>43556</v>
      </c>
      <c r="O41" s="16">
        <v>46113</v>
      </c>
      <c r="P41" s="13">
        <v>443058.73</v>
      </c>
      <c r="Q41" s="222" t="e">
        <v>#VALUE!</v>
      </c>
    </row>
    <row r="42" spans="1:17" x14ac:dyDescent="0.2">
      <c r="A42" s="4" t="s">
        <v>59</v>
      </c>
      <c r="B42" s="13">
        <v>285086766</v>
      </c>
      <c r="C42" s="13">
        <v>268263878</v>
      </c>
      <c r="D42" s="13">
        <v>16822888</v>
      </c>
      <c r="E42" s="13">
        <v>5906470.9699999997</v>
      </c>
      <c r="F42" s="13">
        <v>7485780</v>
      </c>
      <c r="G42" s="14">
        <v>2.25</v>
      </c>
      <c r="H42" s="14">
        <v>0.79</v>
      </c>
      <c r="I42" s="13">
        <v>492205.91416666663</v>
      </c>
      <c r="J42" s="15">
        <v>0</v>
      </c>
      <c r="K42" s="13">
        <v>16822888</v>
      </c>
      <c r="L42" s="13" t="s">
        <v>20</v>
      </c>
      <c r="M42" s="13" t="s">
        <v>42</v>
      </c>
      <c r="N42" s="179">
        <v>43647</v>
      </c>
      <c r="O42" s="16">
        <v>45839</v>
      </c>
      <c r="P42" s="13">
        <v>924245</v>
      </c>
      <c r="Q42" s="222" t="e">
        <v>#VALUE!</v>
      </c>
    </row>
    <row r="43" spans="1:17" x14ac:dyDescent="0.2">
      <c r="A43" s="4" t="s">
        <v>62</v>
      </c>
      <c r="B43" s="13">
        <v>699328036.19000006</v>
      </c>
      <c r="C43" s="13">
        <v>669768620.42999995</v>
      </c>
      <c r="D43" s="13">
        <v>29559415.76000011</v>
      </c>
      <c r="E43" s="13">
        <v>12098860.640000001</v>
      </c>
      <c r="F43" s="13">
        <v>14024709</v>
      </c>
      <c r="G43" s="14">
        <v>2.11</v>
      </c>
      <c r="H43" s="14">
        <v>0.86</v>
      </c>
      <c r="I43" s="13">
        <v>1008238.3866666667</v>
      </c>
      <c r="J43" s="15">
        <v>9</v>
      </c>
      <c r="K43" s="13">
        <v>20485270.280000109</v>
      </c>
      <c r="L43" s="13" t="s">
        <v>42</v>
      </c>
      <c r="M43" s="13" t="s">
        <v>42</v>
      </c>
      <c r="N43" s="179">
        <v>43922</v>
      </c>
      <c r="O43" s="16">
        <v>46113</v>
      </c>
      <c r="P43" s="13">
        <v>221133.68</v>
      </c>
      <c r="Q43" s="222" t="e">
        <v>#VALUE!</v>
      </c>
    </row>
    <row r="44" spans="1:17" x14ac:dyDescent="0.2">
      <c r="A44" s="4" t="s">
        <v>48</v>
      </c>
      <c r="B44" s="13">
        <v>557171086.30999994</v>
      </c>
      <c r="C44" s="13">
        <v>532623973.91000003</v>
      </c>
      <c r="D44" s="13">
        <v>24547112.399999917</v>
      </c>
      <c r="E44" s="13">
        <v>15862495.1</v>
      </c>
      <c r="F44" s="13">
        <v>11761407</v>
      </c>
      <c r="G44" s="14">
        <v>2.09</v>
      </c>
      <c r="H44" s="14">
        <v>1.35</v>
      </c>
      <c r="I44" s="13">
        <v>1321874.5916666666</v>
      </c>
      <c r="J44" s="15">
        <v>6</v>
      </c>
      <c r="K44" s="13">
        <v>16615864.849999918</v>
      </c>
      <c r="L44" s="13" t="s">
        <v>42</v>
      </c>
      <c r="M44" s="13" t="s">
        <v>42</v>
      </c>
      <c r="N44" s="179">
        <v>43831</v>
      </c>
      <c r="O44" s="16">
        <v>46023</v>
      </c>
      <c r="P44" s="13">
        <v>190500</v>
      </c>
      <c r="Q44" s="222" t="e">
        <v>#VALUE!</v>
      </c>
    </row>
    <row r="45" spans="1:17" x14ac:dyDescent="0.2">
      <c r="A45" s="4" t="s">
        <v>54</v>
      </c>
      <c r="B45" s="13">
        <v>1428807757.99</v>
      </c>
      <c r="C45" s="13">
        <v>1358503146.6800001</v>
      </c>
      <c r="D45" s="13">
        <v>70304611.309999943</v>
      </c>
      <c r="E45" s="13">
        <v>46516013.880000003</v>
      </c>
      <c r="F45" s="13">
        <v>34424780</v>
      </c>
      <c r="G45" s="14">
        <v>2.04</v>
      </c>
      <c r="H45" s="14">
        <v>1.35</v>
      </c>
      <c r="I45" s="13">
        <v>3876334.49</v>
      </c>
      <c r="J45" s="15">
        <v>9</v>
      </c>
      <c r="K45" s="13">
        <v>35417600.899999939</v>
      </c>
      <c r="L45" s="13" t="s">
        <v>42</v>
      </c>
      <c r="M45" s="13" t="s">
        <v>42</v>
      </c>
      <c r="N45" s="179">
        <v>43922</v>
      </c>
      <c r="O45" s="16">
        <v>46113</v>
      </c>
      <c r="P45" s="13">
        <v>1647682.1</v>
      </c>
      <c r="Q45" s="222" t="e">
        <v>#VALUE!</v>
      </c>
    </row>
    <row r="46" spans="1:17" x14ac:dyDescent="0.2">
      <c r="A46" s="4" t="s">
        <v>66</v>
      </c>
      <c r="B46" s="13">
        <v>1985336227.8699999</v>
      </c>
      <c r="C46" s="13">
        <v>1894004960.3399999</v>
      </c>
      <c r="D46" s="13">
        <v>91331267.529999971</v>
      </c>
      <c r="E46" s="13">
        <v>42823110.950000003</v>
      </c>
      <c r="F46" s="13">
        <v>45588088</v>
      </c>
      <c r="G46" s="14">
        <v>2</v>
      </c>
      <c r="H46" s="14">
        <v>0.94</v>
      </c>
      <c r="I46" s="13">
        <v>3568592.5791666671</v>
      </c>
      <c r="J46" s="15">
        <v>0</v>
      </c>
      <c r="K46" s="13">
        <v>91331267.529999971</v>
      </c>
      <c r="L46" s="13" t="s">
        <v>20</v>
      </c>
      <c r="M46" s="13" t="s">
        <v>42</v>
      </c>
      <c r="N46" s="179">
        <v>43647</v>
      </c>
      <c r="O46" s="16">
        <v>45839</v>
      </c>
      <c r="P46" s="13">
        <v>2461115.87</v>
      </c>
      <c r="Q46" s="222" t="e">
        <v>#VALUE!</v>
      </c>
    </row>
    <row r="47" spans="1:17" x14ac:dyDescent="0.2">
      <c r="A47" s="4" t="s">
        <v>67</v>
      </c>
      <c r="B47" s="13">
        <v>1110426785</v>
      </c>
      <c r="C47" s="13">
        <v>1056194841.21</v>
      </c>
      <c r="D47" s="13">
        <v>54231943.789999962</v>
      </c>
      <c r="E47" s="13">
        <v>22894791.32</v>
      </c>
      <c r="F47" s="13">
        <v>27485501</v>
      </c>
      <c r="G47" s="14">
        <v>1.97</v>
      </c>
      <c r="H47" s="14">
        <v>0.83</v>
      </c>
      <c r="I47" s="13">
        <v>1907899.2766666666</v>
      </c>
      <c r="J47" s="15">
        <v>9</v>
      </c>
      <c r="K47" s="13">
        <v>37060850.299999967</v>
      </c>
      <c r="L47" s="13" t="s">
        <v>42</v>
      </c>
      <c r="M47" s="13" t="s">
        <v>42</v>
      </c>
      <c r="N47" s="179">
        <v>43922</v>
      </c>
      <c r="O47" s="16">
        <v>46113</v>
      </c>
      <c r="P47" s="13">
        <v>1545578.17</v>
      </c>
      <c r="Q47" s="222" t="e">
        <v>#VALUE!</v>
      </c>
    </row>
    <row r="48" spans="1:17" x14ac:dyDescent="0.2">
      <c r="A48" s="4" t="s">
        <v>57</v>
      </c>
      <c r="B48" s="13">
        <v>101611843</v>
      </c>
      <c r="C48" s="13">
        <v>96103461.560000002</v>
      </c>
      <c r="D48" s="13">
        <v>5508381.4399999976</v>
      </c>
      <c r="E48" s="13">
        <v>3484153.46</v>
      </c>
      <c r="F48" s="13">
        <v>2910779</v>
      </c>
      <c r="G48" s="14">
        <v>1.89</v>
      </c>
      <c r="H48" s="14">
        <v>1.2</v>
      </c>
      <c r="I48" s="13">
        <v>290346.12166666664</v>
      </c>
      <c r="J48" s="15">
        <v>0</v>
      </c>
      <c r="K48" s="13">
        <v>5508381.4399999976</v>
      </c>
      <c r="L48" s="13" t="s">
        <v>42</v>
      </c>
      <c r="M48" s="13" t="s">
        <v>42</v>
      </c>
      <c r="N48" s="179">
        <v>43647</v>
      </c>
      <c r="O48" s="16">
        <v>45839</v>
      </c>
      <c r="P48" s="13">
        <v>0</v>
      </c>
      <c r="Q48" s="222" t="e">
        <v>#VALUE!</v>
      </c>
    </row>
    <row r="49" spans="1:17" x14ac:dyDescent="0.2">
      <c r="A49" s="4" t="s">
        <v>68</v>
      </c>
      <c r="B49" s="13">
        <v>509113932</v>
      </c>
      <c r="C49" s="13">
        <v>487377146.81</v>
      </c>
      <c r="D49" s="13">
        <v>21736785.189999998</v>
      </c>
      <c r="E49" s="13">
        <v>11593702.289999999</v>
      </c>
      <c r="F49" s="13">
        <v>11867952</v>
      </c>
      <c r="G49" s="14">
        <v>1.83</v>
      </c>
      <c r="H49" s="14">
        <v>0.98</v>
      </c>
      <c r="I49" s="13">
        <v>966141.85749999993</v>
      </c>
      <c r="J49" s="15">
        <v>6</v>
      </c>
      <c r="K49" s="13">
        <v>15939934.044999998</v>
      </c>
      <c r="L49" s="13" t="s">
        <v>42</v>
      </c>
      <c r="M49" s="13" t="s">
        <v>42</v>
      </c>
      <c r="N49" s="179">
        <v>43831</v>
      </c>
      <c r="O49" s="16">
        <v>46023</v>
      </c>
      <c r="P49" s="13">
        <v>974329.41</v>
      </c>
      <c r="Q49" s="222" t="e">
        <v>#VALUE!</v>
      </c>
    </row>
    <row r="50" spans="1:17" x14ac:dyDescent="0.2">
      <c r="A50" s="4" t="s">
        <v>65</v>
      </c>
      <c r="B50" s="13">
        <v>398824318</v>
      </c>
      <c r="C50" s="13">
        <v>382168474.32999998</v>
      </c>
      <c r="D50" s="13">
        <v>16655843.670000017</v>
      </c>
      <c r="E50" s="13">
        <v>10894045.449999999</v>
      </c>
      <c r="F50" s="13">
        <v>9664284</v>
      </c>
      <c r="G50" s="14">
        <v>1.72</v>
      </c>
      <c r="H50" s="14">
        <v>1.1299999999999999</v>
      </c>
      <c r="I50" s="13">
        <v>907837.12083333323</v>
      </c>
      <c r="J50" s="15">
        <v>0</v>
      </c>
      <c r="K50" s="13">
        <v>16655843.670000017</v>
      </c>
      <c r="L50" s="13" t="s">
        <v>42</v>
      </c>
      <c r="M50" s="13" t="s">
        <v>42</v>
      </c>
      <c r="N50" s="179">
        <v>43647</v>
      </c>
      <c r="O50" s="16">
        <v>45839</v>
      </c>
      <c r="P50" s="13">
        <v>863184.22</v>
      </c>
      <c r="Q50" s="222" t="e">
        <v>#VALUE!</v>
      </c>
    </row>
    <row r="51" spans="1:17" x14ac:dyDescent="0.2">
      <c r="A51" s="4" t="s">
        <v>69</v>
      </c>
      <c r="B51" s="13">
        <v>243764651</v>
      </c>
      <c r="C51" s="13">
        <v>234765473.88999999</v>
      </c>
      <c r="D51" s="13">
        <v>8999177.1100000143</v>
      </c>
      <c r="E51" s="13">
        <v>5196117.1900000004</v>
      </c>
      <c r="F51" s="13">
        <v>5561418</v>
      </c>
      <c r="G51" s="14">
        <v>1.62</v>
      </c>
      <c r="H51" s="14">
        <v>0.93</v>
      </c>
      <c r="I51" s="13">
        <v>433009.76583333337</v>
      </c>
      <c r="J51" s="15">
        <v>0</v>
      </c>
      <c r="K51" s="13">
        <v>8999177.1100000143</v>
      </c>
      <c r="L51" s="13" t="s">
        <v>42</v>
      </c>
      <c r="M51" s="13" t="s">
        <v>42</v>
      </c>
      <c r="N51" s="179">
        <v>43647</v>
      </c>
      <c r="O51" s="16">
        <v>45839</v>
      </c>
      <c r="P51" s="13">
        <v>503720.75</v>
      </c>
      <c r="Q51" s="222" t="e">
        <v>#VALUE!</v>
      </c>
    </row>
    <row r="52" spans="1:17" x14ac:dyDescent="0.2">
      <c r="A52" s="4" t="s">
        <v>70</v>
      </c>
      <c r="B52" s="13">
        <v>78247436</v>
      </c>
      <c r="C52" s="13">
        <v>74540708.090000004</v>
      </c>
      <c r="D52" s="18">
        <v>3706727.9099999964</v>
      </c>
      <c r="E52" s="13">
        <v>2663576.81</v>
      </c>
      <c r="F52" s="13">
        <v>2776815</v>
      </c>
      <c r="G52" s="14">
        <v>1.33</v>
      </c>
      <c r="H52" s="14">
        <v>0.96</v>
      </c>
      <c r="I52" s="18">
        <v>221964.73416666666</v>
      </c>
      <c r="J52" s="15">
        <v>0</v>
      </c>
      <c r="K52" s="18">
        <v>3706727.9099999964</v>
      </c>
      <c r="L52" s="18" t="s">
        <v>42</v>
      </c>
      <c r="M52" s="18" t="s">
        <v>42</v>
      </c>
      <c r="N52" s="180">
        <v>43647</v>
      </c>
      <c r="O52" s="16">
        <v>45839</v>
      </c>
      <c r="P52" s="13">
        <v>29610.11</v>
      </c>
      <c r="Q52" s="222" t="e">
        <v>#VALUE!</v>
      </c>
    </row>
    <row r="53" spans="1:17" x14ac:dyDescent="0.25">
      <c r="A53" s="34" t="s">
        <v>71</v>
      </c>
      <c r="B53" s="31">
        <v>44036420836.440002</v>
      </c>
      <c r="C53" s="13">
        <v>40838851898.900002</v>
      </c>
      <c r="D53" s="31">
        <v>3197568937.5400009</v>
      </c>
      <c r="E53" s="13">
        <v>948506069.75</v>
      </c>
      <c r="F53" s="13">
        <v>983785270</v>
      </c>
      <c r="G53" s="14">
        <v>3.25</v>
      </c>
      <c r="H53" s="14">
        <v>0.96</v>
      </c>
      <c r="I53" s="31">
        <v>79042172.479166672</v>
      </c>
      <c r="J53" s="32"/>
      <c r="K53" s="33"/>
      <c r="L53" s="33"/>
      <c r="M53" s="33"/>
      <c r="N53" s="33"/>
      <c r="O53" s="33"/>
      <c r="P53" s="31">
        <v>69412230.74000001</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36</v>
      </c>
      <c r="H56" s="25"/>
    </row>
    <row r="57" spans="1:17" ht="27" customHeight="1" thickBot="1" x14ac:dyDescent="0.3">
      <c r="D57" s="228" t="s">
        <v>73</v>
      </c>
      <c r="E57" s="229"/>
      <c r="F57" s="229"/>
      <c r="G57" s="27"/>
      <c r="H57" s="28">
        <v>35</v>
      </c>
    </row>
  </sheetData>
  <mergeCells count="2">
    <mergeCell ref="D56:F56"/>
    <mergeCell ref="D57:F57"/>
  </mergeCells>
  <conditionalFormatting sqref="G54">
    <cfRule type="cellIs" dxfId="433" priority="13" stopIfTrue="1" operator="greaterThan">
      <formula>2.5</formula>
    </cfRule>
    <cfRule type="cellIs" dxfId="432" priority="14" stopIfTrue="1" operator="between">
      <formula>2.01</formula>
      <formula>2.5</formula>
    </cfRule>
  </conditionalFormatting>
  <conditionalFormatting sqref="H3:H53">
    <cfRule type="cellIs" dxfId="431" priority="12" stopIfTrue="1" operator="lessThan">
      <formula>1</formula>
    </cfRule>
  </conditionalFormatting>
  <conditionalFormatting sqref="G3:G53">
    <cfRule type="cellIs" dxfId="430" priority="10" stopIfTrue="1" operator="greaterThan">
      <formula>2.5</formula>
    </cfRule>
    <cfRule type="cellIs" dxfId="429" priority="11" stopIfTrue="1" operator="between">
      <formula>2.01</formula>
      <formula>2.5</formula>
    </cfRule>
  </conditionalFormatting>
  <conditionalFormatting sqref="K3:K52">
    <cfRule type="cellIs" dxfId="428" priority="8" stopIfTrue="1" operator="greaterThan">
      <formula>$F3*2.5</formula>
    </cfRule>
    <cfRule type="cellIs" dxfId="427" priority="9" stopIfTrue="1" operator="between">
      <formula>$F3*2</formula>
      <formula>$F3*2.5</formula>
    </cfRule>
  </conditionalFormatting>
  <conditionalFormatting sqref="G54">
    <cfRule type="cellIs" dxfId="426" priority="6" stopIfTrue="1" operator="greaterThan">
      <formula>2.5</formula>
    </cfRule>
    <cfRule type="cellIs" dxfId="425" priority="7" stopIfTrue="1" operator="between">
      <formula>2.01</formula>
      <formula>2.5</formula>
    </cfRule>
  </conditionalFormatting>
  <conditionalFormatting sqref="H3:H53">
    <cfRule type="cellIs" dxfId="424" priority="5" stopIfTrue="1" operator="lessThan">
      <formula>1</formula>
    </cfRule>
  </conditionalFormatting>
  <conditionalFormatting sqref="G3:G53">
    <cfRule type="cellIs" dxfId="423" priority="3" stopIfTrue="1" operator="greaterThan">
      <formula>2.5</formula>
    </cfRule>
    <cfRule type="cellIs" dxfId="422" priority="4" stopIfTrue="1" operator="between">
      <formula>2.01</formula>
      <formula>2.5</formula>
    </cfRule>
  </conditionalFormatting>
  <conditionalFormatting sqref="K3:K52">
    <cfRule type="cellIs" dxfId="421" priority="1" stopIfTrue="1" operator="greaterThan">
      <formula>$F3*2.5</formula>
    </cfRule>
    <cfRule type="cellIs" dxfId="420"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71FE-ED05-40E4-BB6A-C4C59158562C}">
  <sheetPr codeName="Sheet8">
    <tabColor indexed="35"/>
    <pageSetUpPr autoPageBreaks="0" fitToPage="1"/>
  </sheetPr>
  <dimension ref="A1:Z10"/>
  <sheetViews>
    <sheetView zoomScaleNormal="100" workbookViewId="0">
      <selection activeCell="AC6" sqref="AC6"/>
    </sheetView>
  </sheetViews>
  <sheetFormatPr defaultColWidth="9.1796875" defaultRowHeight="13" x14ac:dyDescent="0.3"/>
  <cols>
    <col min="1" max="1" width="13.1796875" style="46" customWidth="1"/>
    <col min="2" max="9" width="7.1796875" style="46" customWidth="1"/>
    <col min="10" max="10" width="7.81640625" style="46" customWidth="1"/>
    <col min="11" max="21" width="7.1796875" style="46" customWidth="1"/>
    <col min="22" max="22" width="7.26953125" style="46" customWidth="1"/>
    <col min="23" max="25" width="7.1796875" style="46" customWidth="1"/>
    <col min="26" max="26" width="10.54296875" style="46" bestFit="1" customWidth="1"/>
    <col min="27" max="27" width="15.453125" style="46" bestFit="1" customWidth="1"/>
    <col min="28" max="16384" width="9.1796875" style="46"/>
  </cols>
  <sheetData>
    <row r="1" spans="1:26" ht="15.5" x14ac:dyDescent="0.35">
      <c r="A1" s="177" t="s">
        <v>120</v>
      </c>
      <c r="G1" s="71" t="s">
        <v>121</v>
      </c>
      <c r="H1" s="234">
        <v>987900000</v>
      </c>
      <c r="I1" s="235"/>
      <c r="J1" s="235"/>
      <c r="K1" s="96"/>
      <c r="L1" s="96"/>
      <c r="M1" s="97"/>
      <c r="S1" s="71" t="s">
        <v>122</v>
      </c>
      <c r="T1" s="234">
        <v>987900000</v>
      </c>
      <c r="U1" s="235"/>
      <c r="V1" s="235"/>
      <c r="W1" s="96"/>
      <c r="X1" s="96"/>
      <c r="Y1" s="97"/>
    </row>
    <row r="2" spans="1:26" x14ac:dyDescent="0.3">
      <c r="A2" s="170"/>
      <c r="G2" s="71" t="str">
        <f>"Expended in FY "&amp;CurrentFY-1&amp;":"</f>
        <v>Expended in FY 2025:</v>
      </c>
      <c r="H2" s="232">
        <f ca="1">INDIRECT("'Sep''"&amp;RIGHT(CurrentFY-1,2)&amp;"'!P53")+INDIRECT("'Aug''"&amp;RIGHT(CurrentFY-1,2)&amp;"'!P53")+INDIRECT("'Jul''"&amp;RIGHT(CurrentFY-1,2)&amp;"'!P53")+INDIRECT("'Jun''"&amp;RIGHT(CurrentFY-1,2)&amp;"'!P53")+INDIRECT("'May''"&amp;RIGHT(CurrentFY-1,2)&amp;"'!P53")+INDIRECT("'Apr''"&amp;RIGHT(CurrentFY-1,2)&amp;"'!P53")+INDIRECT("'Mar''"&amp;RIGHT(CurrentFY-1,2)&amp;"'!P53")+INDIRECT("'Feb''"&amp;RIGHT(CurrentFY-1,2)&amp;"'!P53")+INDIRECT("'Jan''"&amp;RIGHT(CurrentFY-1,2)&amp;"'!P53")+INDIRECT("'Dec''"&amp;RIGHT(CurrentFY-2,2)&amp;"'!P53")+INDIRECT("'Nov''"&amp;RIGHT(CurrentFY-2,2)&amp;"'!P53")+INDIRECT("'Oct''"&amp;RIGHT(CurrentFY-2,2)&amp;"'!P53")</f>
        <v>1016591000.8099999</v>
      </c>
      <c r="I2" s="233"/>
      <c r="J2" s="233"/>
      <c r="K2" s="73"/>
      <c r="L2" s="230">
        <f ca="1">H2/H1</f>
        <v>1.0290424140196375</v>
      </c>
      <c r="M2" s="231"/>
      <c r="S2" s="71" t="str">
        <f>"FY "&amp;CurrentFY&amp;" Expended to date:"</f>
        <v>FY 2026 Expended to date:</v>
      </c>
      <c r="T2" s="232">
        <f ca="1">SUM(N10:Y10)</f>
        <v>532209422.83999997</v>
      </c>
      <c r="U2" s="233"/>
      <c r="V2" s="233"/>
      <c r="W2" s="73"/>
      <c r="X2" s="230">
        <f ca="1">T2/T1</f>
        <v>0.53872803202753317</v>
      </c>
      <c r="Y2" s="231"/>
    </row>
    <row r="3" spans="1:26" x14ac:dyDescent="0.3">
      <c r="A3" s="170"/>
      <c r="H3" s="173"/>
      <c r="I3" s="173"/>
      <c r="J3" s="173"/>
      <c r="L3" s="174"/>
      <c r="M3" s="174"/>
      <c r="T3" s="173"/>
      <c r="U3" s="173"/>
      <c r="V3" s="173"/>
      <c r="X3" s="174"/>
      <c r="Y3" s="174"/>
    </row>
    <row r="4" spans="1:26" s="175" customFormat="1" x14ac:dyDescent="0.3">
      <c r="B4" s="175" t="str">
        <f t="shared" ref="B4:L4" si="0">IF(LEFT(B5,3)="oct","FY'"&amp;TEXT((RIGHT(B5,2)+1),"00"),"")</f>
        <v/>
      </c>
      <c r="C4" s="175" t="str">
        <f t="shared" si="0"/>
        <v/>
      </c>
      <c r="D4" s="175" t="str">
        <f t="shared" si="0"/>
        <v/>
      </c>
      <c r="E4" s="175" t="str">
        <f t="shared" si="0"/>
        <v/>
      </c>
      <c r="F4" s="175" t="str">
        <f t="shared" si="0"/>
        <v/>
      </c>
      <c r="G4" s="175" t="str">
        <f t="shared" si="0"/>
        <v>FY'25</v>
      </c>
      <c r="H4" s="175" t="str">
        <f t="shared" si="0"/>
        <v/>
      </c>
      <c r="I4" s="175" t="str">
        <f t="shared" si="0"/>
        <v/>
      </c>
      <c r="J4" s="182"/>
      <c r="K4" s="175" t="str">
        <f t="shared" si="0"/>
        <v/>
      </c>
      <c r="L4" s="175" t="str">
        <f t="shared" si="0"/>
        <v/>
      </c>
      <c r="M4" s="175" t="str">
        <f>IF(LEFT(M5,3)="oct","FY'"&amp;TEXT((RIGHT(M5,2)+1),"00"),"")</f>
        <v/>
      </c>
      <c r="N4" s="175" t="str">
        <f t="shared" ref="N4:X4" si="1">IF(LEFT(N5,3)="oct","FY'"&amp;TEXT((RIGHT(N5,2)+1),"00"),"")</f>
        <v/>
      </c>
      <c r="O4" s="173"/>
      <c r="P4" s="175" t="str">
        <f t="shared" si="1"/>
        <v/>
      </c>
      <c r="Q4" s="175" t="str">
        <f t="shared" si="1"/>
        <v/>
      </c>
      <c r="R4" s="175" t="str">
        <f t="shared" si="1"/>
        <v/>
      </c>
      <c r="S4" s="175" t="str">
        <f t="shared" si="1"/>
        <v>FY'26</v>
      </c>
      <c r="T4" s="175" t="str">
        <f t="shared" si="1"/>
        <v/>
      </c>
      <c r="U4" s="175" t="str">
        <f t="shared" si="1"/>
        <v/>
      </c>
      <c r="V4" s="175" t="str">
        <f t="shared" si="1"/>
        <v/>
      </c>
      <c r="W4" s="175" t="str">
        <f t="shared" si="1"/>
        <v/>
      </c>
      <c r="X4" s="175" t="str">
        <f t="shared" si="1"/>
        <v/>
      </c>
      <c r="Y4" s="175" t="str">
        <f>IF(LEFT(Y5,3)="oct","FY'"&amp;TEXT((RIGHT(Y5,2)+1),"00"),"")</f>
        <v/>
      </c>
      <c r="Z4" s="184">
        <f>IF(OR(LEFT(Y5,3)="Oct",LEFT(Y5,3)="Nov",LEFT(Y5,3)="Dec"),RIGHT(Y5,2)+2001,IF(OR(LEFT(Y5,3)="Jan",LEFT(Y5,3)="Feb",LEFT(Y5,3)="Mar",LEFT(Y5,3)="Apr",LEFT(Y5,3)="May",LEFT(Y5,3)="Jun",LEFT(Y5,3)="Jul",LEFT(Y5,3)="Aug",LEFT(Y5,3)="Sep"),RIGHT(Y5,2)+2000,))</f>
        <v>2026</v>
      </c>
    </row>
    <row r="5" spans="1:26" ht="15" customHeight="1" x14ac:dyDescent="0.3">
      <c r="A5" s="74"/>
      <c r="B5" s="74" t="str">
        <f>'States by Mo'!D2</f>
        <v>May'24</v>
      </c>
      <c r="C5" s="74" t="str">
        <f>'States by Mo'!E2</f>
        <v>Jun'24</v>
      </c>
      <c r="D5" s="74" t="str">
        <f>'States by Mo'!F2</f>
        <v>Jul'24</v>
      </c>
      <c r="E5" s="74" t="str">
        <f>'States by Mo'!G2</f>
        <v>Aug'24</v>
      </c>
      <c r="F5" s="74" t="str">
        <f>'States by Mo'!H2</f>
        <v>Sep'24</v>
      </c>
      <c r="G5" s="74" t="str">
        <f>'States by Mo'!I2</f>
        <v>Oct'24</v>
      </c>
      <c r="H5" s="74" t="str">
        <f>'States by Mo'!J2</f>
        <v>Nov'24</v>
      </c>
      <c r="I5" s="74" t="str">
        <f>'States by Mo'!K2</f>
        <v>Dec'24</v>
      </c>
      <c r="J5" s="74" t="str">
        <f>'States by Mo'!L2</f>
        <v>Jan'25</v>
      </c>
      <c r="K5" s="74" t="str">
        <f>'States by Mo'!M2</f>
        <v>Feb'25</v>
      </c>
      <c r="L5" s="74" t="str">
        <f>'States by Mo'!N2</f>
        <v>Mar'25</v>
      </c>
      <c r="M5" s="74" t="str">
        <f>'States by Mo'!O2</f>
        <v>Apr'25</v>
      </c>
      <c r="N5" s="74" t="str">
        <f>'States by Mo'!P2</f>
        <v>May'25</v>
      </c>
      <c r="O5" s="74" t="str">
        <f>'States by Mo'!Q2</f>
        <v>Jun'25</v>
      </c>
      <c r="P5" s="74" t="str">
        <f>'States by Mo'!R2</f>
        <v>Jul'25</v>
      </c>
      <c r="Q5" s="74" t="str">
        <f>'States by Mo'!S2</f>
        <v>Aug'25</v>
      </c>
      <c r="R5" s="74" t="str">
        <f>'States by Mo'!T2</f>
        <v>Sep'25</v>
      </c>
      <c r="S5" s="74" t="str">
        <f>'States by Mo'!U2</f>
        <v>Oct'25</v>
      </c>
      <c r="T5" s="74" t="str">
        <f>'States by Mo'!V2</f>
        <v>Nov'25</v>
      </c>
      <c r="U5" s="74" t="str">
        <f>'States by Mo'!W2</f>
        <v>Dec'25</v>
      </c>
      <c r="V5" s="74" t="str">
        <f>'States by Mo'!X2</f>
        <v>Jan'26</v>
      </c>
      <c r="W5" s="74" t="str">
        <f>'States by Mo'!Y2</f>
        <v>Feb'26</v>
      </c>
      <c r="X5" s="74" t="str">
        <f>'States by Mo'!Z2</f>
        <v>Mar'26</v>
      </c>
      <c r="Y5" s="74" t="str">
        <f>'States by Mo'!AA2</f>
        <v>Apr'26</v>
      </c>
      <c r="Z5" s="61"/>
    </row>
    <row r="6" spans="1:26" s="172" customFormat="1" ht="26" x14ac:dyDescent="0.25">
      <c r="A6" s="171" t="s">
        <v>123</v>
      </c>
      <c r="B6" s="200">
        <f ca="1">'States by Mo'!D53</f>
        <v>3.07</v>
      </c>
      <c r="C6" s="201">
        <f ca="1">'States by Mo'!E53</f>
        <v>2.98</v>
      </c>
      <c r="D6" s="201">
        <f ca="1">'States by Mo'!F53</f>
        <v>2.92</v>
      </c>
      <c r="E6" s="201">
        <f ca="1">'States by Mo'!G53</f>
        <v>2.85</v>
      </c>
      <c r="F6" s="201">
        <f ca="1">'States by Mo'!H53</f>
        <v>3.25</v>
      </c>
      <c r="G6" s="201">
        <f ca="1">'States by Mo'!I53</f>
        <v>3.39</v>
      </c>
      <c r="H6" s="201">
        <f ca="1">'States by Mo'!J53</f>
        <v>3.43</v>
      </c>
      <c r="I6" s="201">
        <f ca="1">'States by Mo'!K53</f>
        <v>3.43</v>
      </c>
      <c r="J6" s="201">
        <f ca="1">'States by Mo'!L53</f>
        <v>3.43</v>
      </c>
      <c r="K6" s="201">
        <f ca="1">'States by Mo'!M53</f>
        <v>3.36</v>
      </c>
      <c r="L6" s="201">
        <f ca="1">'States by Mo'!N53</f>
        <v>3.29</v>
      </c>
      <c r="M6" s="201">
        <f ca="1">'States by Mo'!O53</f>
        <v>3.29</v>
      </c>
      <c r="N6" s="201">
        <f ca="1">'States by Mo'!P53</f>
        <v>3.16</v>
      </c>
      <c r="O6" s="201">
        <f ca="1">'States by Mo'!Q53</f>
        <v>3.08</v>
      </c>
      <c r="P6" s="201">
        <f ca="1">'States by Mo'!R53</f>
        <v>3</v>
      </c>
      <c r="Q6" s="201">
        <f ca="1">'States by Mo'!S53</f>
        <v>2.89</v>
      </c>
      <c r="R6" s="201">
        <f ca="1">'States by Mo'!T53</f>
        <v>3.56</v>
      </c>
      <c r="S6" s="201">
        <f ca="1">'States by Mo'!U53</f>
        <v>3.46</v>
      </c>
      <c r="T6" s="201">
        <f ca="1">'States by Mo'!V53</f>
        <v>3.38</v>
      </c>
      <c r="U6" s="201">
        <f ca="1">'States by Mo'!W53</f>
        <v>3.39</v>
      </c>
      <c r="V6" s="201">
        <f ca="1">'States by Mo'!X53</f>
        <v>3.42</v>
      </c>
      <c r="W6" s="201">
        <f ca="1">'States by Mo'!Y53</f>
        <v>3.37</v>
      </c>
      <c r="X6" s="201">
        <f ca="1">'States by Mo'!Z53</f>
        <v>3.32</v>
      </c>
      <c r="Y6" s="202">
        <f>'States by Mo'!AA53</f>
        <v>3.25</v>
      </c>
    </row>
    <row r="7" spans="1:26" s="172" customFormat="1" ht="26" x14ac:dyDescent="0.25">
      <c r="A7" s="171" t="s">
        <v>124</v>
      </c>
      <c r="B7" s="203">
        <f ca="1">'States by Mo'!D54</f>
        <v>3.033575865409996</v>
      </c>
      <c r="C7" s="204">
        <f ca="1">'States by Mo'!E54</f>
        <v>2.9443317139199983</v>
      </c>
      <c r="D7" s="204">
        <f ca="1">'States by Mo'!F54</f>
        <v>2.8822469040800018</v>
      </c>
      <c r="E7" s="204">
        <f ca="1">'States by Mo'!G54</f>
        <v>2.8029219449400022</v>
      </c>
      <c r="F7" s="204">
        <f ca="1">'States by Mo'!H54</f>
        <v>3.2032934859000015</v>
      </c>
      <c r="G7" s="204">
        <f ca="1">'States by Mo'!I54</f>
        <v>3.3420862042600024</v>
      </c>
      <c r="H7" s="204">
        <f ca="1">'States by Mo'!J54</f>
        <v>3.3815534093399964</v>
      </c>
      <c r="I7" s="204">
        <f ca="1">'States by Mo'!K54</f>
        <v>3.3741574572399977</v>
      </c>
      <c r="J7" s="204">
        <f ca="1">'States by Mo'!L54</f>
        <v>3.3645987558799972</v>
      </c>
      <c r="K7" s="204">
        <f ca="1">'States by Mo'!M54</f>
        <v>3.2962625077299958</v>
      </c>
      <c r="L7" s="204">
        <f ca="1">'States by Mo'!N54</f>
        <v>3.2321113471699983</v>
      </c>
      <c r="M7" s="204">
        <f ca="1">'States by Mo'!O54</f>
        <v>3.2321113471699983</v>
      </c>
      <c r="N7" s="204">
        <f ca="1">'States by Mo'!P54</f>
        <v>3.1002064133799974</v>
      </c>
      <c r="O7" s="204">
        <f ca="1">'States by Mo'!Q54</f>
        <v>3.0236046714599989</v>
      </c>
      <c r="P7" s="204">
        <f ca="1">'States by Mo'!R54</f>
        <v>2.9417699510599977</v>
      </c>
      <c r="Q7" s="204">
        <f ca="1">'States by Mo'!S54</f>
        <v>2.8397359367600021</v>
      </c>
      <c r="R7" s="204">
        <f ca="1">'States by Mo'!T54</f>
        <v>3.5019987663800047</v>
      </c>
      <c r="S7" s="204">
        <f ca="1">'States by Mo'!U54</f>
        <v>3.4070424760100022</v>
      </c>
      <c r="T7" s="204">
        <f ca="1">'States by Mo'!V54</f>
        <v>3.3262852529200058</v>
      </c>
      <c r="U7" s="204">
        <f ca="1">'States by Mo'!W54</f>
        <v>3.3412468479300004</v>
      </c>
      <c r="V7" s="204">
        <f ca="1">'States by Mo'!X54</f>
        <v>3.3678735871399992</v>
      </c>
      <c r="W7" s="204">
        <f ca="1">'States by Mo'!Y54</f>
        <v>3.3117770370900041</v>
      </c>
      <c r="X7" s="204">
        <f ca="1">'States by Mo'!Z54</f>
        <v>3.2669811682799987</v>
      </c>
      <c r="Y7" s="205">
        <f>'States by Mo'!AA54</f>
        <v>3.1975689375400007</v>
      </c>
    </row>
    <row r="8" spans="1:26" s="172" customFormat="1" ht="26" x14ac:dyDescent="0.25">
      <c r="A8" s="171" t="s">
        <v>125</v>
      </c>
      <c r="B8" s="206">
        <f ca="1">'States by Mo'!AG53</f>
        <v>0.91</v>
      </c>
      <c r="C8" s="207">
        <f ca="1">'States by Mo'!AH53</f>
        <v>0.91</v>
      </c>
      <c r="D8" s="207">
        <f ca="1">'States by Mo'!AI53</f>
        <v>0.92</v>
      </c>
      <c r="E8" s="207">
        <f ca="1">'States by Mo'!AJ53</f>
        <v>0.94</v>
      </c>
      <c r="F8" s="207">
        <f ca="1">'States by Mo'!AK53</f>
        <v>0.92</v>
      </c>
      <c r="G8" s="207">
        <f ca="1">'States by Mo'!AL53</f>
        <v>0.93</v>
      </c>
      <c r="H8" s="207">
        <f ca="1">'States by Mo'!AM53</f>
        <v>0.94</v>
      </c>
      <c r="I8" s="207">
        <f ca="1">'States by Mo'!AN53</f>
        <v>0.93</v>
      </c>
      <c r="J8" s="207">
        <f ca="1">'States by Mo'!AO53</f>
        <v>0.96</v>
      </c>
      <c r="K8" s="207">
        <f ca="1">'States by Mo'!AP53</f>
        <v>0.96</v>
      </c>
      <c r="L8" s="207">
        <f ca="1">'States by Mo'!AQ53</f>
        <v>0.96</v>
      </c>
      <c r="M8" s="207">
        <f ca="1">'States by Mo'!AR53</f>
        <v>0.96</v>
      </c>
      <c r="N8" s="207">
        <f ca="1">'States by Mo'!AS53</f>
        <v>0.94</v>
      </c>
      <c r="O8" s="207">
        <f ca="1">'States by Mo'!AT53</f>
        <v>0.93</v>
      </c>
      <c r="P8" s="207">
        <f ca="1">'States by Mo'!AU53</f>
        <v>0.94</v>
      </c>
      <c r="Q8" s="207">
        <f ca="1">'States by Mo'!AV53</f>
        <v>0.95</v>
      </c>
      <c r="R8" s="207">
        <f ca="1">'States by Mo'!AW53</f>
        <v>0.97</v>
      </c>
      <c r="S8" s="207">
        <f ca="1">'States by Mo'!AX53</f>
        <v>0.98</v>
      </c>
      <c r="T8" s="207">
        <f ca="1">'States by Mo'!AY53</f>
        <v>0.99</v>
      </c>
      <c r="U8" s="207">
        <f ca="1">'States by Mo'!AZ53</f>
        <v>0.98</v>
      </c>
      <c r="V8" s="207">
        <f ca="1">'States by Mo'!BA53</f>
        <v>0.94</v>
      </c>
      <c r="W8" s="207">
        <f ca="1">'States by Mo'!BB53</f>
        <v>0.94</v>
      </c>
      <c r="X8" s="207">
        <f ca="1">'States by Mo'!BC53</f>
        <v>0.96</v>
      </c>
      <c r="Y8" s="208">
        <f>'States by Mo'!BD53</f>
        <v>0.96</v>
      </c>
    </row>
    <row r="9" spans="1:26" x14ac:dyDescent="0.3">
      <c r="B9" s="183">
        <f ca="1">INDIRECT('LOCCS Import'!AA3&amp;"P53")</f>
        <v>66367315.789999999</v>
      </c>
      <c r="C9" s="183">
        <f ca="1">INDIRECT('LOCCS Import'!Z3&amp;"P53")</f>
        <v>89244151.49000001</v>
      </c>
      <c r="D9" s="183">
        <f ca="1">INDIRECT('LOCCS Import'!Y3&amp;"P53")</f>
        <v>68831613.840000004</v>
      </c>
      <c r="E9" s="183">
        <f ca="1">INDIRECT('LOCCS Import'!X3&amp;"P53")</f>
        <v>87561139.140000001</v>
      </c>
      <c r="F9" s="183">
        <f ca="1">INDIRECT('LOCCS Import'!W3&amp;"P53")</f>
        <v>78924293.790000007</v>
      </c>
      <c r="G9" s="183">
        <f ca="1">INDIRECT('LOCCS Import'!V3&amp;"P53")</f>
        <v>85029933.640000001</v>
      </c>
      <c r="H9" s="183">
        <f ca="1">INDIRECT('LOCCS Import'!U3&amp;"P53")</f>
        <v>70821787.919999987</v>
      </c>
      <c r="I9" s="183">
        <f ca="1">INDIRECT('LOCCS Import'!T3&amp;"P53")</f>
        <v>85217815.099999994</v>
      </c>
      <c r="J9" s="183">
        <f ca="1">INDIRECT('LOCCS Import'!S3&amp;"P53")</f>
        <v>97047108.360000014</v>
      </c>
      <c r="K9" s="183">
        <f ca="1">INDIRECT('LOCCS Import'!R3&amp;"P53")</f>
        <v>68336248.150000021</v>
      </c>
      <c r="L9" s="183">
        <f ca="1">INDIRECT('LOCCS Import'!Q3&amp;"P53")</f>
        <v>64151160.559999987</v>
      </c>
      <c r="M9" s="183">
        <f ca="1">INDIRECT('LOCCS Import'!P3&amp;"P53")</f>
        <v>64151160.559999987</v>
      </c>
      <c r="N9" s="183">
        <f ca="1">INDIRECT('LOCCS Import'!O3&amp;"P53")</f>
        <v>131904933.79000001</v>
      </c>
      <c r="O9" s="183">
        <f ca="1">INDIRECT('LOCCS Import'!N3&amp;"P53")</f>
        <v>76601741.919999987</v>
      </c>
      <c r="P9" s="183">
        <f ca="1">INDIRECT('LOCCS Import'!M3&amp;"P53")</f>
        <v>81834720.400000006</v>
      </c>
      <c r="Q9" s="183">
        <f ca="1">INDIRECT('LOCCS Import'!L3&amp;"P53")</f>
        <v>102034014.30000001</v>
      </c>
      <c r="R9" s="183">
        <f ca="1">INDIRECT('LOCCS Import'!K3&amp;"P53")</f>
        <v>89460376.109999999</v>
      </c>
      <c r="S9" s="183">
        <f ca="1">INDIRECT('LOCCS Import'!J3&amp;"P53")</f>
        <v>94956290.37000002</v>
      </c>
      <c r="T9" s="183">
        <f ca="1">INDIRECT('LOCCS Import'!I3&amp;"P53")</f>
        <v>80757223.090000004</v>
      </c>
      <c r="U9" s="183">
        <f ca="1">INDIRECT('LOCCS Import'!H3&amp;"P53")</f>
        <v>74966833.989999995</v>
      </c>
      <c r="V9" s="183">
        <f ca="1">INDIRECT('LOCCS Import'!G3&amp;"P53")</f>
        <v>54541771.789999992</v>
      </c>
      <c r="W9" s="183">
        <f ca="1">INDIRECT('LOCCS Import'!F3&amp;"P53")</f>
        <v>79856473.049999982</v>
      </c>
      <c r="X9" s="183">
        <f ca="1">INDIRECT('LOCCS Import'!E3&amp;"P53")</f>
        <v>77718599.810000017</v>
      </c>
      <c r="Y9" s="183">
        <f ca="1">INDIRECT('LOCCS Import'!E1&amp;"P53")</f>
        <v>69412230.74000001</v>
      </c>
    </row>
    <row r="10" spans="1:26" x14ac:dyDescent="0.3">
      <c r="N10" s="183">
        <f>IF(LEFT(N5,3)="oct",SUM(N9:Y9),0)</f>
        <v>0</v>
      </c>
      <c r="O10" s="183">
        <f>IF(LEFT(O5,3)="oct",SUM(O9:Y9),0)</f>
        <v>0</v>
      </c>
      <c r="P10" s="183">
        <f>IF(LEFT(P5,3)="oct",SUM(P9:Y9),0)</f>
        <v>0</v>
      </c>
      <c r="Q10" s="183">
        <f>IF(LEFT(Q5,3)="oct",SUM(Q9:Y9),0)</f>
        <v>0</v>
      </c>
      <c r="R10" s="183">
        <f>IF(LEFT(R5,3)="oct",SUM(R9:Y9),0)</f>
        <v>0</v>
      </c>
      <c r="S10" s="183">
        <f ca="1">IF(LEFT(S5,3)="oct",SUM(S9:Y9),0)</f>
        <v>532209422.83999997</v>
      </c>
      <c r="T10" s="183">
        <f>IF(LEFT(T5,3)="oct",SUM(T9:Y9),0)</f>
        <v>0</v>
      </c>
      <c r="U10" s="183">
        <f>IF(LEFT(U5,3)="oct",SUM(U9:Y9),0)</f>
        <v>0</v>
      </c>
      <c r="V10" s="183">
        <f>IF(LEFT(V5,3)="oct",SUM(V9:Y9),0)</f>
        <v>0</v>
      </c>
      <c r="W10" s="183">
        <f>IF(LEFT(W5,3)="oct",SUM(W9:Y9),0)</f>
        <v>0</v>
      </c>
      <c r="X10" s="183">
        <f>IF(LEFT(X5,3)="oct",SUM(X9:Y9),0)</f>
        <v>0</v>
      </c>
      <c r="Y10" s="183">
        <f>IF(LEFT(Y5,3)="oct",Y9,0)</f>
        <v>0</v>
      </c>
    </row>
  </sheetData>
  <mergeCells count="6">
    <mergeCell ref="X2:Y2"/>
    <mergeCell ref="H2:J2"/>
    <mergeCell ref="H1:J1"/>
    <mergeCell ref="L2:M2"/>
    <mergeCell ref="T1:V1"/>
    <mergeCell ref="T2:V2"/>
  </mergeCells>
  <phoneticPr fontId="0" type="noConversion"/>
  <conditionalFormatting sqref="L2:M3 X2:Y3">
    <cfRule type="cellIs" dxfId="83" priority="2" stopIfTrue="1" operator="lessThan">
      <formula>1</formula>
    </cfRule>
    <cfRule type="cellIs" dxfId="82" priority="3" stopIfTrue="1" operator="greaterThanOrEqual">
      <formula>1</formula>
    </cfRule>
  </conditionalFormatting>
  <printOptions horizontalCentered="1" verticalCentered="1"/>
  <pageMargins left="0.5" right="0.5" top="1" bottom="1" header="0.5" footer="0.5"/>
  <pageSetup scale="64" orientation="landscape" horizontalDpi="300" verticalDpi="300" r:id="rId1"/>
  <headerFooter alignWithMargins="0">
    <oddHeader>&amp;CLOCCS
State Allocation of Expenditure Report for CPD Block Grant Programs</oddHeader>
  </headerFooter>
  <drawing r:id="rId2"/>
  <legacyDrawing r:id="rId3"/>
  <oleObjects>
    <mc:AlternateContent xmlns:mc="http://schemas.openxmlformats.org/markup-compatibility/2006">
      <mc:Choice Requires="x14">
        <oleObject progId="word.document.8" shapeId="2050" r:id="rId4">
          <objectPr defaultSize="0" autoPict="0" r:id="rId5">
            <anchor moveWithCells="1">
              <from>
                <xdr:col>0</xdr:col>
                <xdr:colOff>342900</xdr:colOff>
                <xdr:row>55</xdr:row>
                <xdr:rowOff>133350</xdr:rowOff>
              </from>
              <to>
                <xdr:col>4</xdr:col>
                <xdr:colOff>374650</xdr:colOff>
                <xdr:row>61</xdr:row>
                <xdr:rowOff>133350</xdr:rowOff>
              </to>
            </anchor>
          </objectPr>
        </oleObject>
      </mc:Choice>
      <mc:Fallback>
        <oleObject progId="word.document.8" shapeId="2050"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9936-DB12-4E72-B5B6-999005002DE3}">
  <sheetPr codeName="Sheet7">
    <tabColor rgb="FF00FF00"/>
    <pageSetUpPr autoPageBreaks="0" fitToPage="1"/>
  </sheetPr>
  <dimension ref="A1:Y140"/>
  <sheetViews>
    <sheetView zoomScale="80" zoomScaleNormal="80" workbookViewId="0">
      <selection activeCell="A3" sqref="A3"/>
    </sheetView>
  </sheetViews>
  <sheetFormatPr defaultColWidth="9.1796875" defaultRowHeight="14.5" x14ac:dyDescent="0.35"/>
  <cols>
    <col min="1" max="1" width="13.1796875" style="95" customWidth="1"/>
    <col min="2" max="25" width="6.1796875" style="95" customWidth="1"/>
    <col min="26" max="26" width="3.7265625" style="95" customWidth="1"/>
    <col min="27" max="16384" width="9.1796875" style="95"/>
  </cols>
  <sheetData>
    <row r="1" spans="1:25" x14ac:dyDescent="0.35">
      <c r="A1" s="162" t="s">
        <v>126</v>
      </c>
    </row>
    <row r="2" spans="1:25" ht="25.5" customHeight="1" x14ac:dyDescent="0.35">
      <c r="A2" s="167" t="s">
        <v>127</v>
      </c>
      <c r="C2" s="160" t="s">
        <v>128</v>
      </c>
      <c r="D2" s="163"/>
      <c r="E2" s="163"/>
      <c r="F2" s="163"/>
      <c r="G2" s="163"/>
      <c r="H2" s="242">
        <f>VLOOKUP(A3,template!A3:P53,15)</f>
        <v>45839</v>
      </c>
      <c r="I2" s="241"/>
      <c r="K2" s="161" t="s">
        <v>129</v>
      </c>
      <c r="L2" s="164"/>
      <c r="M2" s="164"/>
      <c r="N2" s="164"/>
      <c r="O2" s="236">
        <f>VLOOKUP(A3,template!A3:P53,6,)</f>
        <v>2669761</v>
      </c>
      <c r="P2" s="237"/>
      <c r="Q2" s="238"/>
      <c r="T2" s="160" t="s">
        <v>130</v>
      </c>
      <c r="U2" s="164"/>
      <c r="V2" s="164"/>
      <c r="W2" s="164"/>
      <c r="X2" s="169">
        <f ca="1">VLOOKUP(A3,'States by Mo'!A3:AE52,31,FALSE)</f>
        <v>37</v>
      </c>
    </row>
    <row r="3" spans="1:25" ht="26.25" customHeight="1" x14ac:dyDescent="0.35">
      <c r="A3" s="168" t="str">
        <f>HLOOKUP(UPPER($A$2),'LOCCS Import'!BD2:DA3,2,FALSE)</f>
        <v>ALASKA</v>
      </c>
      <c r="C3" s="160" t="s">
        <v>18</v>
      </c>
      <c r="D3" s="163"/>
      <c r="E3" s="163"/>
      <c r="F3" s="163"/>
      <c r="G3" s="163"/>
      <c r="H3" s="242" t="e">
        <f>VLOOKUP(A3,template!A2:Q52,17,FALSE)</f>
        <v>#VALUE!</v>
      </c>
      <c r="I3" s="241"/>
      <c r="K3" s="161" t="s">
        <v>131</v>
      </c>
      <c r="L3" s="163"/>
      <c r="M3" s="163"/>
      <c r="N3" s="163"/>
      <c r="O3" s="239">
        <f ca="1">VLOOKUP(A3,template!A3:P53,16)</f>
        <v>29185.94</v>
      </c>
      <c r="P3" s="240"/>
      <c r="Q3" s="241"/>
      <c r="T3" s="160" t="s">
        <v>132</v>
      </c>
      <c r="U3" s="164"/>
      <c r="V3" s="164"/>
      <c r="W3" s="164"/>
      <c r="X3" s="169">
        <f ca="1">VLOOKUP(A3,'States by Mo'!A3:BF52,58,FALSE)</f>
        <v>48</v>
      </c>
    </row>
    <row r="4" spans="1:25" x14ac:dyDescent="0.35">
      <c r="B4" s="166"/>
      <c r="N4" s="166"/>
    </row>
    <row r="5" spans="1:25" s="46" customFormat="1" ht="15.75" customHeight="1" x14ac:dyDescent="0.3">
      <c r="A5" s="194"/>
      <c r="B5" s="197" t="str">
        <f>'States by Mo'!D2</f>
        <v>May'24</v>
      </c>
      <c r="C5" s="198" t="str">
        <f>'States by Mo'!E2</f>
        <v>Jun'24</v>
      </c>
      <c r="D5" s="198" t="str">
        <f>'States by Mo'!F2</f>
        <v>Jul'24</v>
      </c>
      <c r="E5" s="198" t="str">
        <f>'States by Mo'!G2</f>
        <v>Aug'24</v>
      </c>
      <c r="F5" s="198" t="str">
        <f>'States by Mo'!H2</f>
        <v>Sep'24</v>
      </c>
      <c r="G5" s="198" t="str">
        <f>'States by Mo'!I2</f>
        <v>Oct'24</v>
      </c>
      <c r="H5" s="198" t="str">
        <f>'States by Mo'!J2</f>
        <v>Nov'24</v>
      </c>
      <c r="I5" s="198" t="str">
        <f>'States by Mo'!K2</f>
        <v>Dec'24</v>
      </c>
      <c r="J5" s="198" t="str">
        <f>'States by Mo'!L2</f>
        <v>Jan'25</v>
      </c>
      <c r="K5" s="198" t="str">
        <f>'States by Mo'!M2</f>
        <v>Feb'25</v>
      </c>
      <c r="L5" s="198" t="str">
        <f>'States by Mo'!N2</f>
        <v>Mar'25</v>
      </c>
      <c r="M5" s="198" t="str">
        <f>'States by Mo'!O2</f>
        <v>Apr'25</v>
      </c>
      <c r="N5" s="198" t="str">
        <f>'States by Mo'!P2</f>
        <v>May'25</v>
      </c>
      <c r="O5" s="198" t="str">
        <f>'States by Mo'!Q2</f>
        <v>Jun'25</v>
      </c>
      <c r="P5" s="198" t="str">
        <f>'States by Mo'!R2</f>
        <v>Jul'25</v>
      </c>
      <c r="Q5" s="198" t="str">
        <f>'States by Mo'!S2</f>
        <v>Aug'25</v>
      </c>
      <c r="R5" s="198" t="str">
        <f>'States by Mo'!T2</f>
        <v>Sep'25</v>
      </c>
      <c r="S5" s="198" t="str">
        <f>'States by Mo'!U2</f>
        <v>Oct'25</v>
      </c>
      <c r="T5" s="198" t="str">
        <f>'States by Mo'!V2</f>
        <v>Nov'25</v>
      </c>
      <c r="U5" s="198" t="str">
        <f>'States by Mo'!W2</f>
        <v>Dec'25</v>
      </c>
      <c r="V5" s="198" t="str">
        <f>'States by Mo'!X2</f>
        <v>Jan'26</v>
      </c>
      <c r="W5" s="198" t="str">
        <f>'States by Mo'!Y2</f>
        <v>Feb'26</v>
      </c>
      <c r="X5" s="198" t="str">
        <f>'States by Mo'!Z2</f>
        <v>Mar'26</v>
      </c>
      <c r="Y5" s="199" t="str">
        <f>'States by Mo'!AA2</f>
        <v>Apr'26</v>
      </c>
    </row>
    <row r="6" spans="1:25" ht="26.5" x14ac:dyDescent="0.35">
      <c r="A6" s="195" t="s">
        <v>123</v>
      </c>
      <c r="B6" s="188">
        <f ca="1">VLOOKUP($A$3,'States by Mo'!$A$3:$BF$52,4)</f>
        <v>2.87</v>
      </c>
      <c r="C6" s="189">
        <f ca="1">VLOOKUP($A$3,'States by Mo'!$A$3:$BF$52,5)</f>
        <v>2.79</v>
      </c>
      <c r="D6" s="189">
        <f ca="1">VLOOKUP($A$3,'States by Mo'!$A$3:$BF$52,6)</f>
        <v>2.69</v>
      </c>
      <c r="E6" s="189">
        <f ca="1">VLOOKUP($A$3,'States by Mo'!$A$3:$BF$52,7)</f>
        <v>2.69</v>
      </c>
      <c r="F6" s="189">
        <f ca="1">VLOOKUP($A$3,'States by Mo'!$A$3:$BF$52,8)</f>
        <v>3.71</v>
      </c>
      <c r="G6" s="189">
        <f ca="1">VLOOKUP($A$3,'States by Mo'!$A$3:$BF$52,9)</f>
        <v>3.71</v>
      </c>
      <c r="H6" s="189">
        <f ca="1">VLOOKUP($A$3,'States by Mo'!$A$3:$BF$52,10)</f>
        <v>3.58</v>
      </c>
      <c r="I6" s="189">
        <f ca="1">VLOOKUP($A$3,'States by Mo'!$A$3:$BF$52,11)</f>
        <v>3.48</v>
      </c>
      <c r="J6" s="189">
        <f ca="1">VLOOKUP($A$3,'States by Mo'!$A$3:$BF$52,12)</f>
        <v>3.46</v>
      </c>
      <c r="K6" s="189">
        <f ca="1">VLOOKUP($A$3,'States by Mo'!$A$3:$BF$52,13)</f>
        <v>3.43</v>
      </c>
      <c r="L6" s="189">
        <f ca="1">VLOOKUP($A$3,'States by Mo'!$A$3:$BF$52,14)</f>
        <v>3.39</v>
      </c>
      <c r="M6" s="189">
        <f ca="1">VLOOKUP($A$3,'States by Mo'!$A$3:$BF$52,15)</f>
        <v>3.39</v>
      </c>
      <c r="N6" s="189">
        <f ca="1">VLOOKUP($A$3,'States by Mo'!$A$3:$BF$52,16)</f>
        <v>3.28</v>
      </c>
      <c r="O6" s="189">
        <f ca="1">VLOOKUP($A$3,'States by Mo'!$A$3:$BF$52,17)</f>
        <v>3.28</v>
      </c>
      <c r="P6" s="189">
        <f ca="1">VLOOKUP($A$3,'States by Mo'!$A$3:$BF$52,18)</f>
        <v>3.27</v>
      </c>
      <c r="Q6" s="189">
        <f ca="1">VLOOKUP($A$3,'States by Mo'!$A$3:$BF$52,19)</f>
        <v>3.27</v>
      </c>
      <c r="R6" s="189">
        <f ca="1">VLOOKUP($A$3,'States by Mo'!$A$3:$BF$52,20)</f>
        <v>4.28</v>
      </c>
      <c r="S6" s="189">
        <f ca="1">VLOOKUP($A$3,'States by Mo'!$A$3:$BF$52,21)</f>
        <v>4.26</v>
      </c>
      <c r="T6" s="189">
        <f ca="1">VLOOKUP($A$3,'States by Mo'!$A$3:$BF$52,22)</f>
        <v>4.26</v>
      </c>
      <c r="U6" s="189">
        <f ca="1">VLOOKUP($A$3,'States by Mo'!$A$3:$BF$52,23)</f>
        <v>4.0999999999999996</v>
      </c>
      <c r="V6" s="189">
        <f ca="1">VLOOKUP($A$3,'States by Mo'!$A$3:$BF$52,24)</f>
        <v>3.75</v>
      </c>
      <c r="W6" s="189">
        <f ca="1">VLOOKUP($A$3,'States by Mo'!$A$3:$BF$52,25)</f>
        <v>3.73</v>
      </c>
      <c r="X6" s="189">
        <f ca="1">VLOOKUP($A$3,'States by Mo'!$A$3:$BF$52,26)</f>
        <v>3.68</v>
      </c>
      <c r="Y6" s="190">
        <f>VLOOKUP($A$3,'States by Mo'!$A$3:$BF$52,27)</f>
        <v>3.67</v>
      </c>
    </row>
    <row r="7" spans="1:25" ht="26.5" x14ac:dyDescent="0.35">
      <c r="A7" s="196" t="s">
        <v>133</v>
      </c>
      <c r="B7" s="191">
        <f ca="1">VLOOKUP($A$3,'States by Mo'!$A$3:$BF$52,33)</f>
        <v>0.79</v>
      </c>
      <c r="C7" s="192">
        <f ca="1">VLOOKUP($A$3,'States by Mo'!$A$3:$BF$52,34)</f>
        <v>0.83</v>
      </c>
      <c r="D7" s="192">
        <f ca="1">VLOOKUP($A$3,'States by Mo'!$A$3:$BF$52,35)</f>
        <v>0.93</v>
      </c>
      <c r="E7" s="192">
        <f ca="1">VLOOKUP($A$3,'States by Mo'!$A$3:$BF$52,36)</f>
        <v>0.87</v>
      </c>
      <c r="F7" s="192">
        <f ca="1">VLOOKUP($A$3,'States by Mo'!$A$3:$BF$52,37)</f>
        <v>0.88</v>
      </c>
      <c r="G7" s="192">
        <f ca="1">VLOOKUP($A$3,'States by Mo'!$A$3:$BF$52,38)</f>
        <v>0.81</v>
      </c>
      <c r="H7" s="192">
        <f ca="1">VLOOKUP($A$3,'States by Mo'!$A$3:$BF$52,39)</f>
        <v>0.94</v>
      </c>
      <c r="I7" s="192">
        <f ca="1">VLOOKUP($A$3,'States by Mo'!$A$3:$BF$52,40)</f>
        <v>1.02</v>
      </c>
      <c r="J7" s="192">
        <f ca="1">VLOOKUP($A$3,'States by Mo'!$A$3:$BF$52,41)</f>
        <v>0.82</v>
      </c>
      <c r="K7" s="192">
        <f ca="1">VLOOKUP($A$3,'States by Mo'!$A$3:$BF$52,42)</f>
        <v>0.86</v>
      </c>
      <c r="L7" s="192">
        <f ca="1">VLOOKUP($A$3,'States by Mo'!$A$3:$BF$52,43)</f>
        <v>0.6</v>
      </c>
      <c r="M7" s="192">
        <f ca="1">VLOOKUP($A$3,'States by Mo'!$A$3:$BF$52,44)</f>
        <v>0.6</v>
      </c>
      <c r="N7" s="192">
        <f ca="1">VLOOKUP($A$3,'States by Mo'!$A$3:$BF$52,45)</f>
        <v>0.61</v>
      </c>
      <c r="O7" s="192">
        <f ca="1">VLOOKUP($A$3,'States by Mo'!$A$3:$BF$52,46)</f>
        <v>0.54</v>
      </c>
      <c r="P7" s="192">
        <f ca="1">VLOOKUP($A$3,'States by Mo'!$A$3:$BF$52,47)</f>
        <v>0.43</v>
      </c>
      <c r="Q7" s="192">
        <f ca="1">VLOOKUP($A$3,'States by Mo'!$A$3:$BF$52,48)</f>
        <v>0.43</v>
      </c>
      <c r="R7" s="192">
        <f ca="1">VLOOKUP($A$3,'States by Mo'!$A$3:$BF$52,49)</f>
        <v>0.53</v>
      </c>
      <c r="S7" s="192">
        <f ca="1">VLOOKUP($A$3,'States by Mo'!$A$3:$BF$52,50)</f>
        <v>0.54</v>
      </c>
      <c r="T7" s="192">
        <f ca="1">VLOOKUP($A$3,'States by Mo'!$A$3:$BF$52,51)</f>
        <v>0.42</v>
      </c>
      <c r="U7" s="192">
        <f ca="1">VLOOKUP($A$3,'States by Mo'!$A$3:$BF$52,52)</f>
        <v>0.48</v>
      </c>
      <c r="V7" s="192">
        <f ca="1">VLOOKUP($A$3,'States by Mo'!$A$3:$BF$52,53)</f>
        <v>0.81</v>
      </c>
      <c r="W7" s="192">
        <f ca="1">VLOOKUP($A$3,'States by Mo'!$A$3:$BF$52,54)</f>
        <v>0.8</v>
      </c>
      <c r="X7" s="192">
        <f ca="1">VLOOKUP($A$3,'States by Mo'!$A$3:$BF$52,55)</f>
        <v>0.81</v>
      </c>
      <c r="Y7" s="193">
        <f>VLOOKUP($A$3,'States by Mo'!$A$3:$BF$52,56)</f>
        <v>0.72</v>
      </c>
    </row>
    <row r="81" spans="1:25" x14ac:dyDescent="0.35">
      <c r="N81" s="94"/>
      <c r="O81" s="94"/>
      <c r="P81" s="94"/>
      <c r="Q81" s="94"/>
      <c r="R81" s="94"/>
      <c r="S81" s="94"/>
      <c r="T81" s="94"/>
      <c r="U81" s="94"/>
      <c r="V81" s="94"/>
      <c r="W81" s="94"/>
      <c r="X81" s="94"/>
      <c r="Y81" s="94"/>
    </row>
    <row r="82" spans="1:25" x14ac:dyDescent="0.35">
      <c r="N82" s="94"/>
      <c r="O82" s="94"/>
      <c r="P82" s="94"/>
      <c r="Q82" s="94"/>
      <c r="R82" s="94"/>
      <c r="S82" s="94"/>
      <c r="T82" s="94"/>
      <c r="U82" s="94"/>
      <c r="V82" s="94"/>
      <c r="W82" s="94"/>
      <c r="X82" s="94"/>
      <c r="Y82" s="94"/>
    </row>
    <row r="91" spans="1:25" x14ac:dyDescent="0.35">
      <c r="A91" s="165"/>
    </row>
    <row r="92" spans="1:25" x14ac:dyDescent="0.35">
      <c r="A92" s="165"/>
    </row>
    <row r="93" spans="1:25" x14ac:dyDescent="0.35">
      <c r="A93" s="165"/>
    </row>
    <row r="94" spans="1:25" x14ac:dyDescent="0.35">
      <c r="A94" s="165"/>
    </row>
    <row r="95" spans="1:25" x14ac:dyDescent="0.35">
      <c r="A95" s="165"/>
    </row>
    <row r="96" spans="1:25" x14ac:dyDescent="0.35">
      <c r="A96" s="165"/>
    </row>
    <row r="97" spans="1:1" x14ac:dyDescent="0.35">
      <c r="A97" s="165"/>
    </row>
    <row r="98" spans="1:1" x14ac:dyDescent="0.35">
      <c r="A98" s="165"/>
    </row>
    <row r="99" spans="1:1" x14ac:dyDescent="0.35">
      <c r="A99" s="165"/>
    </row>
    <row r="100" spans="1:1" x14ac:dyDescent="0.35">
      <c r="A100" s="165"/>
    </row>
    <row r="101" spans="1:1" x14ac:dyDescent="0.35">
      <c r="A101" s="165"/>
    </row>
    <row r="102" spans="1:1" x14ac:dyDescent="0.35">
      <c r="A102" s="165"/>
    </row>
    <row r="103" spans="1:1" x14ac:dyDescent="0.35">
      <c r="A103" s="165"/>
    </row>
    <row r="104" spans="1:1" x14ac:dyDescent="0.35">
      <c r="A104" s="165"/>
    </row>
    <row r="105" spans="1:1" x14ac:dyDescent="0.35">
      <c r="A105" s="165"/>
    </row>
    <row r="106" spans="1:1" x14ac:dyDescent="0.35">
      <c r="A106" s="165"/>
    </row>
    <row r="107" spans="1:1" x14ac:dyDescent="0.35">
      <c r="A107" s="165"/>
    </row>
    <row r="108" spans="1:1" x14ac:dyDescent="0.35">
      <c r="A108" s="165"/>
    </row>
    <row r="109" spans="1:1" x14ac:dyDescent="0.35">
      <c r="A109" s="165"/>
    </row>
    <row r="110" spans="1:1" x14ac:dyDescent="0.35">
      <c r="A110" s="165"/>
    </row>
    <row r="111" spans="1:1" x14ac:dyDescent="0.35">
      <c r="A111" s="165"/>
    </row>
    <row r="112" spans="1:1" x14ac:dyDescent="0.35">
      <c r="A112" s="165"/>
    </row>
    <row r="113" spans="1:1" x14ac:dyDescent="0.35">
      <c r="A113" s="165"/>
    </row>
    <row r="114" spans="1:1" x14ac:dyDescent="0.35">
      <c r="A114" s="165"/>
    </row>
    <row r="115" spans="1:1" x14ac:dyDescent="0.35">
      <c r="A115" s="165"/>
    </row>
    <row r="116" spans="1:1" x14ac:dyDescent="0.35">
      <c r="A116" s="165"/>
    </row>
    <row r="117" spans="1:1" x14ac:dyDescent="0.35">
      <c r="A117" s="165"/>
    </row>
    <row r="118" spans="1:1" x14ac:dyDescent="0.35">
      <c r="A118" s="165"/>
    </row>
    <row r="119" spans="1:1" x14ac:dyDescent="0.35">
      <c r="A119" s="165"/>
    </row>
    <row r="120" spans="1:1" x14ac:dyDescent="0.35">
      <c r="A120" s="165"/>
    </row>
    <row r="121" spans="1:1" x14ac:dyDescent="0.35">
      <c r="A121" s="165"/>
    </row>
    <row r="122" spans="1:1" x14ac:dyDescent="0.35">
      <c r="A122" s="165"/>
    </row>
    <row r="123" spans="1:1" x14ac:dyDescent="0.35">
      <c r="A123" s="165"/>
    </row>
    <row r="124" spans="1:1" x14ac:dyDescent="0.35">
      <c r="A124" s="165"/>
    </row>
    <row r="125" spans="1:1" x14ac:dyDescent="0.35">
      <c r="A125" s="165"/>
    </row>
    <row r="126" spans="1:1" x14ac:dyDescent="0.35">
      <c r="A126" s="165"/>
    </row>
    <row r="127" spans="1:1" x14ac:dyDescent="0.35">
      <c r="A127" s="165"/>
    </row>
    <row r="128" spans="1:1" x14ac:dyDescent="0.35">
      <c r="A128" s="165"/>
    </row>
    <row r="129" spans="1:1" x14ac:dyDescent="0.35">
      <c r="A129" s="165"/>
    </row>
    <row r="130" spans="1:1" x14ac:dyDescent="0.35">
      <c r="A130" s="165"/>
    </row>
    <row r="131" spans="1:1" x14ac:dyDescent="0.35">
      <c r="A131" s="165"/>
    </row>
    <row r="132" spans="1:1" x14ac:dyDescent="0.35">
      <c r="A132" s="165"/>
    </row>
    <row r="133" spans="1:1" x14ac:dyDescent="0.35">
      <c r="A133" s="165"/>
    </row>
    <row r="134" spans="1:1" x14ac:dyDescent="0.35">
      <c r="A134" s="165"/>
    </row>
    <row r="135" spans="1:1" x14ac:dyDescent="0.35">
      <c r="A135" s="165"/>
    </row>
    <row r="136" spans="1:1" x14ac:dyDescent="0.35">
      <c r="A136" s="165"/>
    </row>
    <row r="137" spans="1:1" x14ac:dyDescent="0.35">
      <c r="A137" s="165"/>
    </row>
    <row r="138" spans="1:1" x14ac:dyDescent="0.35">
      <c r="A138" s="165"/>
    </row>
    <row r="139" spans="1:1" x14ac:dyDescent="0.35">
      <c r="A139" s="165"/>
    </row>
    <row r="140" spans="1:1" x14ac:dyDescent="0.35">
      <c r="A140" s="165"/>
    </row>
  </sheetData>
  <sheetProtection sheet="1"/>
  <mergeCells count="4">
    <mergeCell ref="O2:Q2"/>
    <mergeCell ref="O3:Q3"/>
    <mergeCell ref="H2:I2"/>
    <mergeCell ref="H3:I3"/>
  </mergeCells>
  <phoneticPr fontId="0" type="noConversion"/>
  <conditionalFormatting sqref="X2:X3">
    <cfRule type="cellIs" dxfId="81" priority="1" stopIfTrue="1" operator="lessThanOrEqual">
      <formula>25</formula>
    </cfRule>
    <cfRule type="cellIs" dxfId="80" priority="2" stopIfTrue="1" operator="greaterThan">
      <formula>25</formula>
    </cfRule>
  </conditionalFormatting>
  <pageMargins left="0.75" right="0.75" top="1" bottom="1" header="0.5" footer="0.5"/>
  <pageSetup scale="70" orientation="landscape" horizontalDpi="300" verticalDpi="300" r:id="rId1"/>
  <headerFooter alignWithMargins="0">
    <oddHeader>&amp;CLOCCS
State Allocation of Expenditure Report for CPD Block Grant Programs</oddHead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754E-96BE-4EF4-A305-73141A3A4CD7}">
  <sheetPr codeName="Sheet9">
    <tabColor indexed="51"/>
    <pageSetUpPr autoPageBreaks="0" fitToPage="1"/>
  </sheetPr>
  <dimension ref="A1:L112"/>
  <sheetViews>
    <sheetView zoomScaleNormal="100" zoomScaleSheetLayoutView="25" workbookViewId="0">
      <selection activeCell="L113" sqref="L113"/>
    </sheetView>
  </sheetViews>
  <sheetFormatPr defaultColWidth="9.1796875" defaultRowHeight="12" x14ac:dyDescent="0.3"/>
  <cols>
    <col min="1" max="1" width="17.7265625" style="92" bestFit="1" customWidth="1"/>
    <col min="2" max="2" width="9" style="113" customWidth="1"/>
    <col min="3" max="3" width="11.26953125" style="112" customWidth="1"/>
    <col min="4" max="4" width="10.54296875" style="93" customWidth="1"/>
    <col min="5" max="5" width="11.81640625" style="112" customWidth="1"/>
    <col min="6" max="6" width="11" style="93" customWidth="1"/>
    <col min="7" max="7" width="11.54296875" style="126" customWidth="1"/>
    <col min="8" max="8" width="11" style="93" customWidth="1"/>
    <col min="9" max="9" width="10.7265625" style="92" customWidth="1"/>
    <col min="10" max="10" width="11.26953125" style="93" customWidth="1"/>
    <col min="11" max="11" width="5" style="92" customWidth="1"/>
    <col min="12" max="16384" width="9.1796875" style="92"/>
  </cols>
  <sheetData>
    <row r="1" spans="1:12" s="95" customFormat="1" ht="14.5" x14ac:dyDescent="0.35">
      <c r="B1" s="114"/>
      <c r="C1" s="111"/>
      <c r="D1" s="243" t="s">
        <v>134</v>
      </c>
      <c r="E1" s="244"/>
      <c r="F1" s="244"/>
      <c r="G1" s="244"/>
      <c r="H1" s="244"/>
      <c r="J1" s="129" t="str">
        <f>template!$B$1</f>
        <v>04/30/2026</v>
      </c>
    </row>
    <row r="2" spans="1:12" s="120" customFormat="1" ht="65.25" customHeight="1" x14ac:dyDescent="0.25">
      <c r="A2" s="120" t="s">
        <v>2</v>
      </c>
      <c r="B2" s="121" t="s">
        <v>135</v>
      </c>
      <c r="C2" s="122" t="str">
        <f>"Ratio of Unexpended to Grant in "&amp;TEXT('LOCCS Import'!C1,"MMM")</f>
        <v>Ratio of Unexpended to Grant in Apr</v>
      </c>
      <c r="D2" s="123" t="s">
        <v>136</v>
      </c>
      <c r="E2" s="124" t="s">
        <v>137</v>
      </c>
      <c r="F2" s="125" t="s">
        <v>138</v>
      </c>
      <c r="G2" s="124" t="s">
        <v>139</v>
      </c>
      <c r="H2" s="125" t="s">
        <v>140</v>
      </c>
      <c r="I2" s="124" t="s">
        <v>141</v>
      </c>
      <c r="J2" s="154" t="s">
        <v>142</v>
      </c>
    </row>
    <row r="3" spans="1:12" ht="12.75" customHeight="1" x14ac:dyDescent="0.3">
      <c r="A3" s="115" t="s">
        <v>19</v>
      </c>
      <c r="B3" s="113">
        <f>VLOOKUP(A3,template!$A$3:$P$53,15,)</f>
        <v>45839</v>
      </c>
      <c r="C3" s="118">
        <f>VLOOKUP(A3,template!$A$3:$P$53,7,)</f>
        <v>6.22</v>
      </c>
      <c r="D3" s="119">
        <f t="shared" ref="D3:D34" ca="1" si="0">RANK(C3,INDIRECT("C"&amp;MATCH(B3,B$1:B$52,0)&amp;":C"&amp;MATCH(B3,B$1:B$52)),1)</f>
        <v>26</v>
      </c>
      <c r="E3" s="112">
        <f ca="1">VLOOKUP(A3,'States by Mo'!$A$3:$AD$53,30,)</f>
        <v>5.8716666666666661</v>
      </c>
      <c r="F3" s="119">
        <f t="shared" ref="F3:F34" ca="1" si="1">RANK(E3,INDIRECT("E"&amp;MATCH(B3,B$1:B$52,0)&amp;":E"&amp;MATCH(B3,B$1:B$52)),1)</f>
        <v>26</v>
      </c>
      <c r="G3" s="112">
        <f>VLOOKUP(A3,template!$A$3:$P$53,8,)</f>
        <v>0.93</v>
      </c>
      <c r="H3" s="119">
        <f t="shared" ref="H3:H34" ca="1" si="2">RANK(G3,INDIRECT("G"&amp;MATCH(B3,B$1:B$52,0)&amp;":G"&amp;MATCH(B3,B$1:B$52)),)</f>
        <v>11</v>
      </c>
      <c r="I3" s="116">
        <f ca="1">VLOOKUP(A3,'States by Mo'!$A$3:$BF$53,57,)</f>
        <v>0.82</v>
      </c>
      <c r="J3" s="119">
        <f t="shared" ref="J3:J34" ca="1" si="3">RANK(I3,INDIRECT("I"&amp;MATCH(B3,B$1:B$52,0)&amp;":I"&amp;MATCH(B3,B$1:B$52)),)</f>
        <v>18</v>
      </c>
    </row>
    <row r="4" spans="1:12" ht="12.75" customHeight="1" x14ac:dyDescent="0.3">
      <c r="A4" s="115" t="s">
        <v>22</v>
      </c>
      <c r="B4" s="113">
        <f>VLOOKUP(A4,template!$A$3:$P$53,15,)</f>
        <v>45839</v>
      </c>
      <c r="C4" s="118">
        <f>VLOOKUP(A4,template!$A$3:$P$53,7,)</f>
        <v>5.49</v>
      </c>
      <c r="D4" s="119">
        <f t="shared" ca="1" si="0"/>
        <v>25</v>
      </c>
      <c r="E4" s="112">
        <f ca="1">VLOOKUP(A4,'States by Mo'!$A$3:$AD$53,30,)</f>
        <v>5.47</v>
      </c>
      <c r="F4" s="119">
        <f t="shared" ca="1" si="1"/>
        <v>25</v>
      </c>
      <c r="G4" s="112">
        <f>VLOOKUP(A4,template!$A$3:$P$53,8,)</f>
        <v>0.78</v>
      </c>
      <c r="H4" s="119">
        <f t="shared" ca="1" si="2"/>
        <v>19</v>
      </c>
      <c r="I4" s="116">
        <f ca="1">VLOOKUP(A4,'States by Mo'!$A$3:$BF$53,57,)</f>
        <v>0.89083333333333325</v>
      </c>
      <c r="J4" s="119">
        <f t="shared" ca="1" si="3"/>
        <v>15</v>
      </c>
    </row>
    <row r="5" spans="1:12" ht="12.75" customHeight="1" x14ac:dyDescent="0.3">
      <c r="A5" s="115" t="s">
        <v>24</v>
      </c>
      <c r="B5" s="113">
        <f>VLOOKUP(A5,template!$A$3:$P$53,15,)</f>
        <v>45839</v>
      </c>
      <c r="C5" s="118">
        <f>VLOOKUP(A5,template!$A$3:$P$53,7,)</f>
        <v>5.34</v>
      </c>
      <c r="D5" s="119">
        <f t="shared" ca="1" si="0"/>
        <v>24</v>
      </c>
      <c r="E5" s="112">
        <f ca="1">VLOOKUP(A5,'States by Mo'!$A$3:$AD$53,30,)</f>
        <v>5.3516666666666666</v>
      </c>
      <c r="F5" s="119">
        <f t="shared" ca="1" si="1"/>
        <v>24</v>
      </c>
      <c r="G5" s="112">
        <f>VLOOKUP(A5,template!$A$3:$P$53,8,)</f>
        <v>0.66</v>
      </c>
      <c r="H5" s="119">
        <f t="shared" ca="1" si="2"/>
        <v>23</v>
      </c>
      <c r="I5" s="116">
        <f ca="1">VLOOKUP(A5,'States by Mo'!$A$3:$BF$53,57,)</f>
        <v>0.54</v>
      </c>
      <c r="J5" s="119">
        <f t="shared" ca="1" si="3"/>
        <v>25</v>
      </c>
    </row>
    <row r="6" spans="1:12" ht="12.75" customHeight="1" x14ac:dyDescent="0.3">
      <c r="A6" s="115" t="s">
        <v>28</v>
      </c>
      <c r="B6" s="113">
        <f>VLOOKUP(A6,template!$A$3:$P$53,15,)</f>
        <v>45839</v>
      </c>
      <c r="C6" s="118">
        <f>VLOOKUP(A6,template!$A$3:$P$53,7,)</f>
        <v>4.0599999999999996</v>
      </c>
      <c r="D6" s="119">
        <f t="shared" ca="1" si="0"/>
        <v>22</v>
      </c>
      <c r="E6" s="112">
        <f ca="1">VLOOKUP(A6,'States by Mo'!$A$3:$AD$53,30,)</f>
        <v>4.1250000000000009</v>
      </c>
      <c r="F6" s="119">
        <f t="shared" ca="1" si="1"/>
        <v>22</v>
      </c>
      <c r="G6" s="112">
        <f>VLOOKUP(A6,template!$A$3:$P$53,8,)</f>
        <v>0.99</v>
      </c>
      <c r="H6" s="119">
        <f t="shared" ca="1" si="2"/>
        <v>8</v>
      </c>
      <c r="I6" s="116">
        <f ca="1">VLOOKUP(A6,'States by Mo'!$A$3:$BF$53,57,)</f>
        <v>0.96749999999999992</v>
      </c>
      <c r="J6" s="119">
        <f t="shared" ca="1" si="3"/>
        <v>11</v>
      </c>
    </row>
    <row r="7" spans="1:12" ht="12.75" customHeight="1" x14ac:dyDescent="0.3">
      <c r="A7" s="115" t="s">
        <v>32</v>
      </c>
      <c r="B7" s="113">
        <f>VLOOKUP(A7,template!$A$3:$P$53,15,)</f>
        <v>45839</v>
      </c>
      <c r="C7" s="118">
        <f>VLOOKUP(A7,template!$A$3:$P$53,7,)</f>
        <v>4.0599999999999996</v>
      </c>
      <c r="D7" s="119">
        <f t="shared" ca="1" si="0"/>
        <v>22</v>
      </c>
      <c r="E7" s="112">
        <f ca="1">VLOOKUP(A7,'States by Mo'!$A$3:$AD$53,30,)</f>
        <v>4.1308333333333334</v>
      </c>
      <c r="F7" s="119">
        <f t="shared" ca="1" si="1"/>
        <v>23</v>
      </c>
      <c r="G7" s="112">
        <f>VLOOKUP(A7,template!$A$3:$P$53,8,)</f>
        <v>0.83</v>
      </c>
      <c r="H7" s="119">
        <f t="shared" ca="1" si="2"/>
        <v>15</v>
      </c>
      <c r="I7" s="116">
        <f ca="1">VLOOKUP(A7,'States by Mo'!$A$3:$BF$53,57,)</f>
        <v>0.76916666666666689</v>
      </c>
      <c r="J7" s="119">
        <f t="shared" ca="1" si="3"/>
        <v>22</v>
      </c>
    </row>
    <row r="8" spans="1:12" ht="12.75" customHeight="1" x14ac:dyDescent="0.3">
      <c r="A8" s="115" t="s">
        <v>39</v>
      </c>
      <c r="B8" s="113">
        <f>VLOOKUP(A8,template!$A$3:$P$53,15,)</f>
        <v>45839</v>
      </c>
      <c r="C8" s="118">
        <f>VLOOKUP(A8,template!$A$3:$P$53,7,)</f>
        <v>4.05</v>
      </c>
      <c r="D8" s="119">
        <f t="shared" ca="1" si="0"/>
        <v>21</v>
      </c>
      <c r="E8" s="112">
        <f ca="1">VLOOKUP(A8,'States by Mo'!$A$3:$AD$53,30,)</f>
        <v>4.0358333333333327</v>
      </c>
      <c r="F8" s="119">
        <f t="shared" ca="1" si="1"/>
        <v>21</v>
      </c>
      <c r="G8" s="112">
        <f>VLOOKUP(A8,template!$A$3:$P$53,8,)</f>
        <v>0.64</v>
      </c>
      <c r="H8" s="119">
        <f t="shared" ca="1" si="2"/>
        <v>25</v>
      </c>
      <c r="I8" s="116">
        <f ca="1">VLOOKUP(A8,'States by Mo'!$A$3:$BF$53,57,)</f>
        <v>0.52999999999999992</v>
      </c>
      <c r="J8" s="119">
        <f t="shared" ca="1" si="3"/>
        <v>26</v>
      </c>
    </row>
    <row r="9" spans="1:12" ht="12.75" customHeight="1" x14ac:dyDescent="0.3">
      <c r="A9" s="115" t="s">
        <v>35</v>
      </c>
      <c r="B9" s="113">
        <f>VLOOKUP(A9,template!$A$3:$P$53,15,)</f>
        <v>45839</v>
      </c>
      <c r="C9" s="118">
        <f>VLOOKUP(A9,template!$A$3:$P$53,7,)</f>
        <v>4.04</v>
      </c>
      <c r="D9" s="119">
        <f t="shared" ca="1" si="0"/>
        <v>20</v>
      </c>
      <c r="E9" s="112">
        <f ca="1">VLOOKUP(A9,'States by Mo'!$A$3:$AD$53,30,)</f>
        <v>4.0233333333333343</v>
      </c>
      <c r="F9" s="119">
        <f t="shared" ca="1" si="1"/>
        <v>20</v>
      </c>
      <c r="G9" s="112">
        <f>VLOOKUP(A9,template!$A$3:$P$53,8,)</f>
        <v>0.63</v>
      </c>
      <c r="H9" s="119">
        <f t="shared" ca="1" si="2"/>
        <v>26</v>
      </c>
      <c r="I9" s="116">
        <f ca="1">VLOOKUP(A9,'States by Mo'!$A$3:$BF$53,57,)</f>
        <v>0.67916666666666659</v>
      </c>
      <c r="J9" s="119">
        <f t="shared" ca="1" si="3"/>
        <v>23</v>
      </c>
    </row>
    <row r="10" spans="1:12" ht="12.75" customHeight="1" x14ac:dyDescent="0.3">
      <c r="A10" s="115" t="s">
        <v>40</v>
      </c>
      <c r="B10" s="113">
        <f>VLOOKUP(A10,template!$A$3:$P$53,15,)</f>
        <v>45839</v>
      </c>
      <c r="C10" s="118">
        <f>VLOOKUP(A10,template!$A$3:$P$53,7,)</f>
        <v>3.7</v>
      </c>
      <c r="D10" s="119">
        <f t="shared" ca="1" si="0"/>
        <v>19</v>
      </c>
      <c r="E10" s="112">
        <f ca="1">VLOOKUP(A10,'States by Mo'!$A$3:$AD$53,30,)</f>
        <v>3.3241666666666667</v>
      </c>
      <c r="F10" s="119">
        <f t="shared" ca="1" si="1"/>
        <v>15</v>
      </c>
      <c r="G10" s="112">
        <f>VLOOKUP(A10,template!$A$3:$P$53,8,)</f>
        <v>1.35</v>
      </c>
      <c r="H10" s="119">
        <f t="shared" ca="1" si="2"/>
        <v>4</v>
      </c>
      <c r="I10" s="116">
        <f ca="1">VLOOKUP(A10,'States by Mo'!$A$3:$BF$53,57,)</f>
        <v>1.4541666666666668</v>
      </c>
      <c r="J10" s="119">
        <f t="shared" ca="1" si="3"/>
        <v>2</v>
      </c>
    </row>
    <row r="11" spans="1:12" ht="12.75" customHeight="1" x14ac:dyDescent="0.3">
      <c r="A11" s="115" t="s">
        <v>47</v>
      </c>
      <c r="B11" s="113">
        <f>VLOOKUP(A11,template!$A$3:$P$53,15,)</f>
        <v>45839</v>
      </c>
      <c r="C11" s="118">
        <f>VLOOKUP(A11,template!$A$3:$P$53,7,)</f>
        <v>3.67</v>
      </c>
      <c r="D11" s="119">
        <f t="shared" ca="1" si="0"/>
        <v>18</v>
      </c>
      <c r="E11" s="112">
        <f ca="1">VLOOKUP(A11,'States by Mo'!$A$3:$AD$53,30,)</f>
        <v>3.7358333333333333</v>
      </c>
      <c r="F11" s="119">
        <f t="shared" ca="1" si="1"/>
        <v>18</v>
      </c>
      <c r="G11" s="112">
        <f>VLOOKUP(A11,template!$A$3:$P$53,8,)</f>
        <v>0.72</v>
      </c>
      <c r="H11" s="119">
        <f t="shared" ca="1" si="2"/>
        <v>21</v>
      </c>
      <c r="I11" s="116">
        <f ca="1">VLOOKUP(A11,'States by Mo'!$A$3:$BF$53,57,)</f>
        <v>0.59333333333333338</v>
      </c>
      <c r="J11" s="119">
        <f t="shared" ca="1" si="3"/>
        <v>24</v>
      </c>
    </row>
    <row r="12" spans="1:12" ht="12.75" customHeight="1" x14ac:dyDescent="0.3">
      <c r="A12" s="115" t="s">
        <v>44</v>
      </c>
      <c r="B12" s="113">
        <f>VLOOKUP(A12,template!$A$3:$P$53,15,)</f>
        <v>45839</v>
      </c>
      <c r="C12" s="118">
        <f>VLOOKUP(A12,template!$A$3:$P$53,7,)</f>
        <v>3.64</v>
      </c>
      <c r="D12" s="119">
        <f t="shared" ca="1" si="0"/>
        <v>17</v>
      </c>
      <c r="E12" s="112">
        <f ca="1">VLOOKUP(A12,'States by Mo'!$A$3:$AD$53,30,)</f>
        <v>3.4175</v>
      </c>
      <c r="F12" s="119">
        <f t="shared" ca="1" si="1"/>
        <v>16</v>
      </c>
      <c r="G12" s="112">
        <f>VLOOKUP(A12,template!$A$3:$P$53,8,)</f>
        <v>0.66</v>
      </c>
      <c r="H12" s="119">
        <f t="shared" ca="1" si="2"/>
        <v>23</v>
      </c>
      <c r="I12" s="116">
        <f ca="1">VLOOKUP(A12,'States by Mo'!$A$3:$BF$53,57,)</f>
        <v>0.99416666666666664</v>
      </c>
      <c r="J12" s="119">
        <f t="shared" ca="1" si="3"/>
        <v>10</v>
      </c>
    </row>
    <row r="13" spans="1:12" ht="12.75" customHeight="1" x14ac:dyDescent="0.3">
      <c r="A13" s="115" t="s">
        <v>37</v>
      </c>
      <c r="B13" s="113">
        <f>VLOOKUP(A13,template!$A$3:$P$53,15,)</f>
        <v>45839</v>
      </c>
      <c r="C13" s="118">
        <f>VLOOKUP(A13,template!$A$3:$P$53,7,)</f>
        <v>3.21</v>
      </c>
      <c r="D13" s="119">
        <f t="shared" ca="1" si="0"/>
        <v>16</v>
      </c>
      <c r="E13" s="112">
        <f ca="1">VLOOKUP(A13,'States by Mo'!$A$3:$AD$53,30,)</f>
        <v>3.9875000000000003</v>
      </c>
      <c r="F13" s="119">
        <f t="shared" ca="1" si="1"/>
        <v>19</v>
      </c>
      <c r="G13" s="112">
        <f>VLOOKUP(A13,template!$A$3:$P$53,8,)</f>
        <v>1.63</v>
      </c>
      <c r="H13" s="119">
        <f t="shared" ca="1" si="2"/>
        <v>1</v>
      </c>
      <c r="I13" s="116">
        <f ca="1">VLOOKUP(A13,'States by Mo'!$A$3:$BF$53,57,)</f>
        <v>1.0158333333333334</v>
      </c>
      <c r="J13" s="119">
        <f t="shared" ca="1" si="3"/>
        <v>9</v>
      </c>
    </row>
    <row r="14" spans="1:12" ht="12.75" customHeight="1" x14ac:dyDescent="0.3">
      <c r="A14" s="115" t="s">
        <v>46</v>
      </c>
      <c r="B14" s="113">
        <f>VLOOKUP(A14,template!$A$3:$P$53,15,)</f>
        <v>45839</v>
      </c>
      <c r="C14" s="118">
        <f>VLOOKUP(A14,template!$A$3:$P$53,7,)</f>
        <v>3.17</v>
      </c>
      <c r="D14" s="119">
        <f t="shared" ca="1" si="0"/>
        <v>15</v>
      </c>
      <c r="E14" s="112">
        <f ca="1">VLOOKUP(A14,'States by Mo'!$A$3:$AD$53,30,)</f>
        <v>2.7266666666666666</v>
      </c>
      <c r="F14" s="119">
        <f t="shared" ca="1" si="1"/>
        <v>9</v>
      </c>
      <c r="G14" s="112">
        <f>VLOOKUP(A14,template!$A$3:$P$53,8,)</f>
        <v>1.1100000000000001</v>
      </c>
      <c r="H14" s="119">
        <f t="shared" ca="1" si="2"/>
        <v>7</v>
      </c>
      <c r="I14" s="116">
        <f ca="1">VLOOKUP(A14,'States by Mo'!$A$3:$BF$53,57,)</f>
        <v>1.1408333333333331</v>
      </c>
      <c r="J14" s="119">
        <f t="shared" ca="1" si="3"/>
        <v>6</v>
      </c>
    </row>
    <row r="15" spans="1:12" ht="12.75" customHeight="1" x14ac:dyDescent="0.3">
      <c r="A15" s="115" t="s">
        <v>34</v>
      </c>
      <c r="B15" s="113">
        <f>VLOOKUP(A15,template!$A$3:$P$53,15,)</f>
        <v>45839</v>
      </c>
      <c r="C15" s="118">
        <f>VLOOKUP(A15,template!$A$3:$P$53,7,)</f>
        <v>3.14</v>
      </c>
      <c r="D15" s="119">
        <f t="shared" ca="1" si="0"/>
        <v>14</v>
      </c>
      <c r="E15" s="112">
        <f ca="1">VLOOKUP(A15,'States by Mo'!$A$3:$AD$53,30,)</f>
        <v>3.7308333333333326</v>
      </c>
      <c r="F15" s="119">
        <f t="shared" ca="1" si="1"/>
        <v>17</v>
      </c>
      <c r="G15" s="112">
        <f>VLOOKUP(A15,template!$A$3:$P$53,8,)</f>
        <v>1.6</v>
      </c>
      <c r="H15" s="119">
        <f t="shared" ca="1" si="2"/>
        <v>2</v>
      </c>
      <c r="I15" s="116">
        <f ca="1">VLOOKUP(A15,'States by Mo'!$A$3:$BF$53,57,)</f>
        <v>1.1808333333333332</v>
      </c>
      <c r="J15" s="119">
        <f t="shared" ca="1" si="3"/>
        <v>3</v>
      </c>
    </row>
    <row r="16" spans="1:12" ht="12.75" customHeight="1" x14ac:dyDescent="0.3">
      <c r="A16" s="115" t="s">
        <v>49</v>
      </c>
      <c r="B16" s="113">
        <f>VLOOKUP(A16,template!$A$3:$P$53,15,)</f>
        <v>45839</v>
      </c>
      <c r="C16" s="118">
        <f>VLOOKUP(A16,template!$A$3:$P$53,7,)</f>
        <v>3.12</v>
      </c>
      <c r="D16" s="119">
        <f t="shared" ca="1" si="0"/>
        <v>13</v>
      </c>
      <c r="E16" s="112">
        <f ca="1">VLOOKUP(A16,'States by Mo'!$A$3:$AD$53,30,)</f>
        <v>2.7533333333333334</v>
      </c>
      <c r="F16" s="119">
        <f t="shared" ca="1" si="1"/>
        <v>10</v>
      </c>
      <c r="G16" s="112">
        <f>VLOOKUP(A16,template!$A$3:$P$53,8,)</f>
        <v>0.8</v>
      </c>
      <c r="H16" s="119">
        <f t="shared" ca="1" si="2"/>
        <v>17</v>
      </c>
      <c r="I16" s="116">
        <f ca="1">VLOOKUP(A16,'States by Mo'!$A$3:$BF$53,57,)</f>
        <v>0.79083333333333339</v>
      </c>
      <c r="J16" s="119">
        <f t="shared" ca="1" si="3"/>
        <v>21</v>
      </c>
    </row>
    <row r="17" spans="1:10" ht="12" customHeight="1" x14ac:dyDescent="0.3">
      <c r="A17" s="115" t="s">
        <v>50</v>
      </c>
      <c r="B17" s="113">
        <f>VLOOKUP(A17,template!$A$3:$P$53,15,)</f>
        <v>45839</v>
      </c>
      <c r="C17" s="118">
        <f>VLOOKUP(A17,template!$A$3:$P$53,7,)</f>
        <v>3.11</v>
      </c>
      <c r="D17" s="119">
        <f t="shared" ca="1" si="0"/>
        <v>12</v>
      </c>
      <c r="E17" s="112">
        <f ca="1">VLOOKUP(A17,'States by Mo'!$A$3:$AD$53,30,)</f>
        <v>3.0499999999999994</v>
      </c>
      <c r="F17" s="119">
        <f t="shared" ca="1" si="1"/>
        <v>14</v>
      </c>
      <c r="G17" s="112">
        <f>VLOOKUP(A17,template!$A$3:$P$53,8,)</f>
        <v>0.76</v>
      </c>
      <c r="H17" s="119">
        <f t="shared" ca="1" si="2"/>
        <v>20</v>
      </c>
      <c r="I17" s="116">
        <f ca="1">VLOOKUP(A17,'States by Mo'!$A$3:$BF$53,57,)</f>
        <v>0.87583333333333335</v>
      </c>
      <c r="J17" s="119">
        <f t="shared" ca="1" si="3"/>
        <v>17</v>
      </c>
    </row>
    <row r="18" spans="1:10" ht="12.75" customHeight="1" x14ac:dyDescent="0.3">
      <c r="A18" s="115" t="s">
        <v>29</v>
      </c>
      <c r="B18" s="113">
        <f>VLOOKUP(A18,template!$A$3:$P$53,15,)</f>
        <v>45839</v>
      </c>
      <c r="C18" s="118">
        <f>VLOOKUP(A18,template!$A$3:$P$53,7,)</f>
        <v>2.99</v>
      </c>
      <c r="D18" s="119">
        <f t="shared" ca="1" si="0"/>
        <v>11</v>
      </c>
      <c r="E18" s="112">
        <f ca="1">VLOOKUP(A18,'States by Mo'!$A$3:$AD$53,30,)</f>
        <v>2.9083333333333332</v>
      </c>
      <c r="F18" s="119">
        <f t="shared" ca="1" si="1"/>
        <v>13</v>
      </c>
      <c r="G18" s="112">
        <f>VLOOKUP(A18,template!$A$3:$P$53,8,)</f>
        <v>1.52</v>
      </c>
      <c r="H18" s="119">
        <f t="shared" ca="1" si="2"/>
        <v>3</v>
      </c>
      <c r="I18" s="116">
        <f ca="1">VLOOKUP(A18,'States by Mo'!$A$3:$BF$53,57,)</f>
        <v>1.4883333333333335</v>
      </c>
      <c r="J18" s="119">
        <f t="shared" ca="1" si="3"/>
        <v>1</v>
      </c>
    </row>
    <row r="19" spans="1:10" ht="12.75" customHeight="1" x14ac:dyDescent="0.3">
      <c r="A19" s="115" t="s">
        <v>38</v>
      </c>
      <c r="B19" s="113">
        <f>VLOOKUP(A19,template!$A$3:$P$53,15,)</f>
        <v>45839</v>
      </c>
      <c r="C19" s="118">
        <f>VLOOKUP(A19,template!$A$3:$P$53,7,)</f>
        <v>2.85</v>
      </c>
      <c r="D19" s="119">
        <f t="shared" ca="1" si="0"/>
        <v>10</v>
      </c>
      <c r="E19" s="112">
        <f ca="1">VLOOKUP(A19,'States by Mo'!$A$3:$AD$53,30,)</f>
        <v>2.7908333333333335</v>
      </c>
      <c r="F19" s="119">
        <f t="shared" ca="1" si="1"/>
        <v>11</v>
      </c>
      <c r="G19" s="112">
        <f>VLOOKUP(A19,template!$A$3:$P$53,8,)</f>
        <v>0.88</v>
      </c>
      <c r="H19" s="119">
        <f t="shared" ca="1" si="2"/>
        <v>13</v>
      </c>
      <c r="I19" s="116">
        <f ca="1">VLOOKUP(A19,'States by Mo'!$A$3:$BF$53,57,)</f>
        <v>0.93833333333333346</v>
      </c>
      <c r="J19" s="119">
        <f t="shared" ca="1" si="3"/>
        <v>12</v>
      </c>
    </row>
    <row r="20" spans="1:10" ht="12.75" customHeight="1" x14ac:dyDescent="0.3">
      <c r="A20" s="115" t="s">
        <v>56</v>
      </c>
      <c r="B20" s="113">
        <f>VLOOKUP(A20,template!$A$3:$P$53,15,)</f>
        <v>45839</v>
      </c>
      <c r="C20" s="118">
        <f>VLOOKUP(A20,template!$A$3:$P$53,7,)</f>
        <v>2.8</v>
      </c>
      <c r="D20" s="119">
        <f t="shared" ca="1" si="0"/>
        <v>9</v>
      </c>
      <c r="E20" s="112">
        <f ca="1">VLOOKUP(A20,'States by Mo'!$A$3:$AD$53,30,)</f>
        <v>2.9024999999999999</v>
      </c>
      <c r="F20" s="119">
        <f t="shared" ca="1" si="1"/>
        <v>12</v>
      </c>
      <c r="G20" s="112">
        <f>VLOOKUP(A20,template!$A$3:$P$53,8,)</f>
        <v>0.86</v>
      </c>
      <c r="H20" s="119">
        <f t="shared" ca="1" si="2"/>
        <v>14</v>
      </c>
      <c r="I20" s="116">
        <f ca="1">VLOOKUP(A20,'States by Mo'!$A$3:$BF$53,57,)</f>
        <v>0.8175</v>
      </c>
      <c r="J20" s="119">
        <f t="shared" ca="1" si="3"/>
        <v>19</v>
      </c>
    </row>
    <row r="21" spans="1:10" ht="12.75" customHeight="1" x14ac:dyDescent="0.3">
      <c r="A21" s="115" t="s">
        <v>52</v>
      </c>
      <c r="B21" s="113">
        <f>VLOOKUP(A21,template!$A$3:$P$53,15,)</f>
        <v>45839</v>
      </c>
      <c r="C21" s="118">
        <f>VLOOKUP(A21,template!$A$3:$P$53,7,)</f>
        <v>2.67</v>
      </c>
      <c r="D21" s="119">
        <f t="shared" ca="1" si="0"/>
        <v>8</v>
      </c>
      <c r="E21" s="112">
        <f ca="1">VLOOKUP(A21,'States by Mo'!$A$3:$AD$53,30,)</f>
        <v>2.6966666666666668</v>
      </c>
      <c r="F21" s="119">
        <f t="shared" ca="1" si="1"/>
        <v>8</v>
      </c>
      <c r="G21" s="112">
        <f>VLOOKUP(A21,template!$A$3:$P$53,8,)</f>
        <v>0.83</v>
      </c>
      <c r="H21" s="119">
        <f t="shared" ca="1" si="2"/>
        <v>15</v>
      </c>
      <c r="I21" s="116">
        <f ca="1">VLOOKUP(A21,'States by Mo'!$A$3:$BF$53,57,)</f>
        <v>0.88333333333333341</v>
      </c>
      <c r="J21" s="119">
        <f t="shared" ca="1" si="3"/>
        <v>16</v>
      </c>
    </row>
    <row r="22" spans="1:10" ht="12.75" customHeight="1" x14ac:dyDescent="0.3">
      <c r="A22" s="115" t="s">
        <v>63</v>
      </c>
      <c r="B22" s="113">
        <f>VLOOKUP(A22,template!$A$3:$P$53,15,)</f>
        <v>45839</v>
      </c>
      <c r="C22" s="118">
        <f>VLOOKUP(A22,template!$A$3:$P$53,7,)</f>
        <v>2.56</v>
      </c>
      <c r="D22" s="119">
        <f t="shared" ca="1" si="0"/>
        <v>7</v>
      </c>
      <c r="E22" s="112">
        <f ca="1">VLOOKUP(A22,'States by Mo'!$A$3:$AD$53,30,)</f>
        <v>2.5566666666666662</v>
      </c>
      <c r="F22" s="119">
        <f t="shared" ca="1" si="1"/>
        <v>7</v>
      </c>
      <c r="G22" s="112">
        <f>VLOOKUP(A22,template!$A$3:$P$53,8,)</f>
        <v>0.72</v>
      </c>
      <c r="H22" s="119">
        <f t="shared" ca="1" si="2"/>
        <v>21</v>
      </c>
      <c r="I22" s="116">
        <f ca="1">VLOOKUP(A22,'States by Mo'!$A$3:$BF$53,57,)</f>
        <v>0.79500000000000004</v>
      </c>
      <c r="J22" s="119">
        <f t="shared" ca="1" si="3"/>
        <v>20</v>
      </c>
    </row>
    <row r="23" spans="1:10" ht="12.75" customHeight="1" x14ac:dyDescent="0.3">
      <c r="A23" s="115" t="s">
        <v>59</v>
      </c>
      <c r="B23" s="113">
        <f>VLOOKUP(A23,template!$A$3:$P$53,15,)</f>
        <v>45839</v>
      </c>
      <c r="C23" s="118">
        <f>VLOOKUP(A23,template!$A$3:$P$53,7,)</f>
        <v>2.25</v>
      </c>
      <c r="D23" s="119">
        <f t="shared" ca="1" si="0"/>
        <v>6</v>
      </c>
      <c r="E23" s="112">
        <f ca="1">VLOOKUP(A23,'States by Mo'!$A$3:$AD$53,30,)</f>
        <v>2.2316666666666669</v>
      </c>
      <c r="F23" s="119">
        <f t="shared" ca="1" si="1"/>
        <v>6</v>
      </c>
      <c r="G23" s="112">
        <f>VLOOKUP(A23,template!$A$3:$P$53,8,)</f>
        <v>0.79</v>
      </c>
      <c r="H23" s="119">
        <f t="shared" ca="1" si="2"/>
        <v>18</v>
      </c>
      <c r="I23" s="116">
        <f ca="1">VLOOKUP(A23,'States by Mo'!$A$3:$BF$53,57,)</f>
        <v>1.1766666666666667</v>
      </c>
      <c r="J23" s="119">
        <f t="shared" ca="1" si="3"/>
        <v>4</v>
      </c>
    </row>
    <row r="24" spans="1:10" ht="12.75" customHeight="1" x14ac:dyDescent="0.3">
      <c r="A24" s="115" t="s">
        <v>66</v>
      </c>
      <c r="B24" s="113">
        <f>VLOOKUP(A24,template!$A$3:$P$53,15,)</f>
        <v>45839</v>
      </c>
      <c r="C24" s="118">
        <f>VLOOKUP(A24,template!$A$3:$P$53,7,)</f>
        <v>2</v>
      </c>
      <c r="D24" s="119">
        <f t="shared" ca="1" si="0"/>
        <v>5</v>
      </c>
      <c r="E24" s="112">
        <f ca="1">VLOOKUP(A24,'States by Mo'!$A$3:$AD$53,30,)</f>
        <v>2.0874999999999999</v>
      </c>
      <c r="F24" s="119">
        <f t="shared" ca="1" si="1"/>
        <v>4</v>
      </c>
      <c r="G24" s="112">
        <f>VLOOKUP(A24,template!$A$3:$P$53,8,)</f>
        <v>0.94</v>
      </c>
      <c r="H24" s="119">
        <f t="shared" ca="1" si="2"/>
        <v>10</v>
      </c>
      <c r="I24" s="116">
        <f ca="1">VLOOKUP(A24,'States by Mo'!$A$3:$BF$53,57,)</f>
        <v>0.92916666666666659</v>
      </c>
      <c r="J24" s="119">
        <f t="shared" ca="1" si="3"/>
        <v>13</v>
      </c>
    </row>
    <row r="25" spans="1:10" ht="12.75" customHeight="1" x14ac:dyDescent="0.3">
      <c r="A25" s="115" t="s">
        <v>57</v>
      </c>
      <c r="B25" s="113">
        <f>VLOOKUP(A25,template!$A$3:$P$53,15,)</f>
        <v>45839</v>
      </c>
      <c r="C25" s="118">
        <f>VLOOKUP(A25,template!$A$3:$P$53,7,)</f>
        <v>1.89</v>
      </c>
      <c r="D25" s="119">
        <f t="shared" ca="1" si="0"/>
        <v>4</v>
      </c>
      <c r="E25" s="112">
        <f ca="1">VLOOKUP(A25,'States by Mo'!$A$3:$AD$53,30,)</f>
        <v>2.2050000000000001</v>
      </c>
      <c r="F25" s="119">
        <f t="shared" ca="1" si="1"/>
        <v>5</v>
      </c>
      <c r="G25" s="112">
        <f>VLOOKUP(A25,template!$A$3:$P$53,8,)</f>
        <v>1.2</v>
      </c>
      <c r="H25" s="119">
        <f t="shared" ca="1" si="2"/>
        <v>5</v>
      </c>
      <c r="I25" s="116">
        <f ca="1">VLOOKUP(A25,'States by Mo'!$A$3:$BF$53,57,)</f>
        <v>1.1058333333333332</v>
      </c>
      <c r="J25" s="119">
        <f t="shared" ca="1" si="3"/>
        <v>7</v>
      </c>
    </row>
    <row r="26" spans="1:10" ht="12.75" customHeight="1" x14ac:dyDescent="0.3">
      <c r="A26" s="115" t="s">
        <v>65</v>
      </c>
      <c r="B26" s="113">
        <f>VLOOKUP(A26,template!$A$3:$P$53,15,)</f>
        <v>45839</v>
      </c>
      <c r="C26" s="118">
        <f>VLOOKUP(A26,template!$A$3:$P$53,7,)</f>
        <v>1.72</v>
      </c>
      <c r="D26" s="119">
        <f t="shared" ca="1" si="0"/>
        <v>3</v>
      </c>
      <c r="E26" s="112">
        <f ca="1">VLOOKUP(A26,'States by Mo'!$A$3:$AD$53,30,)</f>
        <v>1.8749999999999998</v>
      </c>
      <c r="F26" s="119">
        <f t="shared" ca="1" si="1"/>
        <v>3</v>
      </c>
      <c r="G26" s="112">
        <f>VLOOKUP(A26,template!$A$3:$P$53,8,)</f>
        <v>1.1299999999999999</v>
      </c>
      <c r="H26" s="119">
        <f t="shared" ca="1" si="2"/>
        <v>6</v>
      </c>
      <c r="I26" s="116">
        <f ca="1">VLOOKUP(A26,'States by Mo'!$A$3:$BF$53,57,)</f>
        <v>1.1566666666666665</v>
      </c>
      <c r="J26" s="119">
        <f t="shared" ca="1" si="3"/>
        <v>5</v>
      </c>
    </row>
    <row r="27" spans="1:10" ht="12.75" customHeight="1" x14ac:dyDescent="0.3">
      <c r="A27" s="115" t="s">
        <v>69</v>
      </c>
      <c r="B27" s="113">
        <f>VLOOKUP(A27,template!$A$3:$P$53,15,)</f>
        <v>45839</v>
      </c>
      <c r="C27" s="118">
        <f>VLOOKUP(A27,template!$A$3:$P$53,7,)</f>
        <v>1.62</v>
      </c>
      <c r="D27" s="119">
        <f t="shared" ca="1" si="0"/>
        <v>2</v>
      </c>
      <c r="E27" s="112">
        <f ca="1">VLOOKUP(A27,'States by Mo'!$A$3:$AD$53,30,)</f>
        <v>1.3108333333333333</v>
      </c>
      <c r="F27" s="119">
        <f t="shared" ca="1" si="1"/>
        <v>2</v>
      </c>
      <c r="G27" s="112">
        <f>VLOOKUP(A27,template!$A$3:$P$53,8,)</f>
        <v>0.93</v>
      </c>
      <c r="H27" s="119">
        <f t="shared" ca="1" si="2"/>
        <v>11</v>
      </c>
      <c r="I27" s="116">
        <f ca="1">VLOOKUP(A27,'States by Mo'!$A$3:$BF$53,57,)</f>
        <v>1.0683333333333336</v>
      </c>
      <c r="J27" s="119">
        <f t="shared" ca="1" si="3"/>
        <v>8</v>
      </c>
    </row>
    <row r="28" spans="1:10" ht="12.75" customHeight="1" x14ac:dyDescent="0.3">
      <c r="A28" s="115" t="s">
        <v>70</v>
      </c>
      <c r="B28" s="113">
        <f>VLOOKUP(A28,template!$A$3:$P$53,15,)</f>
        <v>45839</v>
      </c>
      <c r="C28" s="118">
        <f>VLOOKUP(A28,template!$A$3:$P$53,7,)</f>
        <v>1.33</v>
      </c>
      <c r="D28" s="119">
        <f t="shared" ca="1" si="0"/>
        <v>1</v>
      </c>
      <c r="E28" s="112">
        <f ca="1">VLOOKUP(A28,'States by Mo'!$A$3:$AD$53,30,)</f>
        <v>0.96749999999999992</v>
      </c>
      <c r="F28" s="119">
        <f t="shared" ca="1" si="1"/>
        <v>1</v>
      </c>
      <c r="G28" s="112">
        <f>VLOOKUP(A28,template!$A$3:$P$53,8,)</f>
        <v>0.96</v>
      </c>
      <c r="H28" s="119">
        <f t="shared" ca="1" si="2"/>
        <v>9</v>
      </c>
      <c r="I28" s="116">
        <f ca="1">VLOOKUP(A28,'States by Mo'!$A$3:$BF$53,57,)</f>
        <v>0.90916666666666701</v>
      </c>
      <c r="J28" s="119">
        <f t="shared" ca="1" si="3"/>
        <v>14</v>
      </c>
    </row>
    <row r="29" spans="1:10" ht="12.75" customHeight="1" x14ac:dyDescent="0.3">
      <c r="A29" s="115" t="s">
        <v>53</v>
      </c>
      <c r="B29" s="113">
        <f>VLOOKUP(A29,template!$A$3:$P$53,15,)</f>
        <v>45901</v>
      </c>
      <c r="C29" s="118">
        <f>VLOOKUP(A29,template!$A$3:$P$53,7,)</f>
        <v>2.52</v>
      </c>
      <c r="D29" s="119">
        <f t="shared" ca="1" si="0"/>
        <v>1</v>
      </c>
      <c r="E29" s="112">
        <f ca="1">VLOOKUP(A29,'States by Mo'!$A$3:$AD$53,30,)</f>
        <v>2.5874999999999999</v>
      </c>
      <c r="F29" s="119">
        <f t="shared" ca="1" si="1"/>
        <v>1</v>
      </c>
      <c r="G29" s="112">
        <f>VLOOKUP(A29,template!$A$3:$P$53,8,)</f>
        <v>0.91</v>
      </c>
      <c r="H29" s="119">
        <f t="shared" ca="1" si="2"/>
        <v>1</v>
      </c>
      <c r="I29" s="116">
        <f ca="1">VLOOKUP(A29,'States by Mo'!$A$3:$BF$53,57,)</f>
        <v>1.0083333333333335</v>
      </c>
      <c r="J29" s="119">
        <f t="shared" ca="1" si="3"/>
        <v>1</v>
      </c>
    </row>
    <row r="30" spans="1:10" ht="12.75" customHeight="1" x14ac:dyDescent="0.3">
      <c r="A30" s="115" t="s">
        <v>27</v>
      </c>
      <c r="B30" s="113">
        <f>VLOOKUP(A30,template!$A$3:$P$53,15,)</f>
        <v>45931</v>
      </c>
      <c r="C30" s="118">
        <f>VLOOKUP(A30,template!$A$3:$P$53,7,)</f>
        <v>4.09</v>
      </c>
      <c r="D30" s="119">
        <f t="shared" ca="1" si="0"/>
        <v>1</v>
      </c>
      <c r="E30" s="112">
        <f ca="1">VLOOKUP(A30,'States by Mo'!$A$3:$AD$53,30,)</f>
        <v>4.1933333333333342</v>
      </c>
      <c r="F30" s="119">
        <f t="shared" ca="1" si="1"/>
        <v>1</v>
      </c>
      <c r="G30" s="112">
        <f>VLOOKUP(A30,template!$A$3:$P$53,8,)</f>
        <v>0.91</v>
      </c>
      <c r="H30" s="119">
        <f t="shared" ca="1" si="2"/>
        <v>1</v>
      </c>
      <c r="I30" s="116">
        <f ca="1">VLOOKUP(A30,'States by Mo'!$A$3:$BF$53,57,)</f>
        <v>0.88500000000000012</v>
      </c>
      <c r="J30" s="119">
        <f t="shared" ca="1" si="3"/>
        <v>1</v>
      </c>
    </row>
    <row r="31" spans="1:10" ht="12.75" customHeight="1" x14ac:dyDescent="0.3">
      <c r="A31" s="115" t="s">
        <v>21</v>
      </c>
      <c r="B31" s="113">
        <f>VLOOKUP(A31,template!$A$3:$P$53,15,)</f>
        <v>46023</v>
      </c>
      <c r="C31" s="118">
        <f>VLOOKUP(A31,template!$A$3:$P$53,7,)</f>
        <v>5.35</v>
      </c>
      <c r="D31" s="119">
        <f t="shared" ca="1" si="0"/>
        <v>12</v>
      </c>
      <c r="E31" s="112">
        <f ca="1">VLOOKUP(A31,'States by Mo'!$A$3:$AD$53,30,)</f>
        <v>5.4241666666666672</v>
      </c>
      <c r="F31" s="119">
        <f t="shared" ca="1" si="1"/>
        <v>12</v>
      </c>
      <c r="G31" s="112">
        <f>VLOOKUP(A31,template!$A$3:$P$53,8,)</f>
        <v>0.94</v>
      </c>
      <c r="H31" s="119">
        <f t="shared" ca="1" si="2"/>
        <v>8</v>
      </c>
      <c r="I31" s="116">
        <f ca="1">VLOOKUP(A31,'States by Mo'!$A$3:$BF$53,57,)</f>
        <v>0.93083333333333329</v>
      </c>
      <c r="J31" s="119">
        <f t="shared" ca="1" si="3"/>
        <v>6</v>
      </c>
    </row>
    <row r="32" spans="1:10" ht="12.75" customHeight="1" x14ac:dyDescent="0.3">
      <c r="A32" s="115" t="s">
        <v>31</v>
      </c>
      <c r="B32" s="113">
        <f>VLOOKUP(A32,template!$A$3:$P$53,15,)</f>
        <v>46023</v>
      </c>
      <c r="C32" s="118">
        <f>VLOOKUP(A32,template!$A$3:$P$53,7,)</f>
        <v>4.2</v>
      </c>
      <c r="D32" s="119">
        <f t="shared" ca="1" si="0"/>
        <v>11</v>
      </c>
      <c r="E32" s="112">
        <f ca="1">VLOOKUP(A32,'States by Mo'!$A$3:$AD$53,30,)</f>
        <v>4.0433333333333339</v>
      </c>
      <c r="F32" s="119">
        <f t="shared" ca="1" si="1"/>
        <v>9</v>
      </c>
      <c r="G32" s="112">
        <f>VLOOKUP(A32,template!$A$3:$P$53,8,)</f>
        <v>1.05</v>
      </c>
      <c r="H32" s="119">
        <f t="shared" ca="1" si="2"/>
        <v>5</v>
      </c>
      <c r="I32" s="116">
        <f ca="1">VLOOKUP(A32,'States by Mo'!$A$3:$BF$53,57,)</f>
        <v>0.89666666666666683</v>
      </c>
      <c r="J32" s="119">
        <f t="shared" ca="1" si="3"/>
        <v>7</v>
      </c>
    </row>
    <row r="33" spans="1:10" ht="12.75" customHeight="1" x14ac:dyDescent="0.3">
      <c r="A33" s="115" t="s">
        <v>26</v>
      </c>
      <c r="B33" s="113">
        <f>VLOOKUP(A33,template!$A$3:$P$53,15,)</f>
        <v>46023</v>
      </c>
      <c r="C33" s="118">
        <f>VLOOKUP(A33,template!$A$3:$P$53,7,)</f>
        <v>4.1900000000000004</v>
      </c>
      <c r="D33" s="119">
        <f t="shared" ca="1" si="0"/>
        <v>10</v>
      </c>
      <c r="E33" s="112">
        <f ca="1">VLOOKUP(A33,'States by Mo'!$A$3:$AD$53,30,)</f>
        <v>4.583333333333333</v>
      </c>
      <c r="F33" s="119">
        <f t="shared" ca="1" si="1"/>
        <v>11</v>
      </c>
      <c r="G33" s="112">
        <f>VLOOKUP(A33,template!$A$3:$P$53,8,)</f>
        <v>1.45</v>
      </c>
      <c r="H33" s="119">
        <f t="shared" ca="1" si="2"/>
        <v>2</v>
      </c>
      <c r="I33" s="116">
        <f ca="1">VLOOKUP(A33,'States by Mo'!$A$3:$BF$53,57,)</f>
        <v>0.82500000000000007</v>
      </c>
      <c r="J33" s="119">
        <f t="shared" ca="1" si="3"/>
        <v>10</v>
      </c>
    </row>
    <row r="34" spans="1:10" ht="12.75" customHeight="1" x14ac:dyDescent="0.3">
      <c r="A34" s="115" t="s">
        <v>23</v>
      </c>
      <c r="B34" s="113">
        <f>VLOOKUP(A34,template!$A$3:$P$53,15,)</f>
        <v>46023</v>
      </c>
      <c r="C34" s="118">
        <f>VLOOKUP(A34,template!$A$3:$P$53,7,)</f>
        <v>4.01</v>
      </c>
      <c r="D34" s="119">
        <f t="shared" ca="1" si="0"/>
        <v>9</v>
      </c>
      <c r="E34" s="112">
        <f ca="1">VLOOKUP(A34,'States by Mo'!$A$3:$AD$53,30,)</f>
        <v>4.1599999999999993</v>
      </c>
      <c r="F34" s="119">
        <f t="shared" ca="1" si="1"/>
        <v>10</v>
      </c>
      <c r="G34" s="112">
        <f>VLOOKUP(A34,template!$A$3:$P$53,8,)</f>
        <v>1.98</v>
      </c>
      <c r="H34" s="119">
        <f t="shared" ca="1" si="2"/>
        <v>1</v>
      </c>
      <c r="I34" s="116">
        <f ca="1">VLOOKUP(A34,'States by Mo'!$A$3:$BF$53,57,)</f>
        <v>1.4966666666666668</v>
      </c>
      <c r="J34" s="119">
        <f t="shared" ca="1" si="3"/>
        <v>1</v>
      </c>
    </row>
    <row r="35" spans="1:10" ht="12.75" customHeight="1" x14ac:dyDescent="0.3">
      <c r="A35" s="115" t="s">
        <v>51</v>
      </c>
      <c r="B35" s="113">
        <f>VLOOKUP(A35,template!$A$3:$P$53,15,)</f>
        <v>46023</v>
      </c>
      <c r="C35" s="118">
        <f>VLOOKUP(A35,template!$A$3:$P$53,7,)</f>
        <v>3.19</v>
      </c>
      <c r="D35" s="119">
        <f t="shared" ref="D35:D52" ca="1" si="4">RANK(C35,INDIRECT("C"&amp;MATCH(B35,B$1:B$52,0)&amp;":C"&amp;MATCH(B35,B$1:B$52)),1)</f>
        <v>8</v>
      </c>
      <c r="E35" s="112">
        <f ca="1">VLOOKUP(A35,'States by Mo'!$A$3:$AD$53,30,)</f>
        <v>3.1824999999999997</v>
      </c>
      <c r="F35" s="119">
        <f t="shared" ref="F35:F52" ca="1" si="5">RANK(E35,INDIRECT("E"&amp;MATCH(B35,B$1:B$52,0)&amp;":E"&amp;MATCH(B35,B$1:B$52)),1)</f>
        <v>6</v>
      </c>
      <c r="G35" s="112">
        <f>VLOOKUP(A35,template!$A$3:$P$53,8,)</f>
        <v>0.8</v>
      </c>
      <c r="H35" s="119">
        <f t="shared" ref="H35:H52" ca="1" si="6">RANK(G35,INDIRECT("G"&amp;MATCH(B35,B$1:B$52,0)&amp;":G"&amp;MATCH(B35,B$1:B$52)),)</f>
        <v>11</v>
      </c>
      <c r="I35" s="116">
        <f ca="1">VLOOKUP(A35,'States by Mo'!$A$3:$BF$53,57,)</f>
        <v>0.83750000000000002</v>
      </c>
      <c r="J35" s="119">
        <f t="shared" ref="J35:J52" ca="1" si="7">RANK(I35,INDIRECT("I"&amp;MATCH(B35,B$1:B$52,0)&amp;":I"&amp;MATCH(B35,B$1:B$52)),)</f>
        <v>9</v>
      </c>
    </row>
    <row r="36" spans="1:10" ht="12.75" customHeight="1" x14ac:dyDescent="0.3">
      <c r="A36" s="115" t="s">
        <v>55</v>
      </c>
      <c r="B36" s="113">
        <f>VLOOKUP(A36,template!$A$3:$P$53,15,)</f>
        <v>46023</v>
      </c>
      <c r="C36" s="118">
        <f>VLOOKUP(A36,template!$A$3:$P$53,7,)</f>
        <v>3.18</v>
      </c>
      <c r="D36" s="119">
        <f t="shared" ca="1" si="4"/>
        <v>7</v>
      </c>
      <c r="E36" s="112">
        <f ca="1">VLOOKUP(A36,'States by Mo'!$A$3:$AD$53,30,)</f>
        <v>3.1199999999999997</v>
      </c>
      <c r="F36" s="119">
        <f t="shared" ca="1" si="5"/>
        <v>5</v>
      </c>
      <c r="G36" s="112">
        <f>VLOOKUP(A36,template!$A$3:$P$53,8,)</f>
        <v>0.61</v>
      </c>
      <c r="H36" s="119">
        <f t="shared" ca="1" si="6"/>
        <v>12</v>
      </c>
      <c r="I36" s="116">
        <f ca="1">VLOOKUP(A36,'States by Mo'!$A$3:$BF$53,57,)</f>
        <v>0.62333333333333341</v>
      </c>
      <c r="J36" s="119">
        <f t="shared" ca="1" si="7"/>
        <v>12</v>
      </c>
    </row>
    <row r="37" spans="1:10" ht="12.75" customHeight="1" x14ac:dyDescent="0.3">
      <c r="A37" s="115" t="s">
        <v>41</v>
      </c>
      <c r="B37" s="113">
        <f>VLOOKUP(A37,template!$A$3:$P$53,15,)</f>
        <v>46023</v>
      </c>
      <c r="C37" s="118">
        <f>VLOOKUP(A37,template!$A$3:$P$53,7,)</f>
        <v>3.12</v>
      </c>
      <c r="D37" s="119">
        <f t="shared" ca="1" si="4"/>
        <v>6</v>
      </c>
      <c r="E37" s="112">
        <f ca="1">VLOOKUP(A37,'States by Mo'!$A$3:$AD$53,30,)</f>
        <v>3.1858333333333331</v>
      </c>
      <c r="F37" s="119">
        <f t="shared" ca="1" si="5"/>
        <v>7</v>
      </c>
      <c r="G37" s="112">
        <f>VLOOKUP(A37,template!$A$3:$P$53,8,)</f>
        <v>0.86</v>
      </c>
      <c r="H37" s="119">
        <f t="shared" ca="1" si="6"/>
        <v>10</v>
      </c>
      <c r="I37" s="116">
        <f ca="1">VLOOKUP(A37,'States by Mo'!$A$3:$BF$53,57,)</f>
        <v>0.86083333333333323</v>
      </c>
      <c r="J37" s="119">
        <f t="shared" ca="1" si="7"/>
        <v>8</v>
      </c>
    </row>
    <row r="38" spans="1:10" ht="12.75" customHeight="1" x14ac:dyDescent="0.3">
      <c r="A38" s="115" t="s">
        <v>45</v>
      </c>
      <c r="B38" s="113">
        <f>VLOOKUP(A38,template!$A$3:$P$53,15,)</f>
        <v>46023</v>
      </c>
      <c r="C38" s="118">
        <f>VLOOKUP(A38,template!$A$3:$P$53,7,)</f>
        <v>3.06</v>
      </c>
      <c r="D38" s="119">
        <f t="shared" ca="1" si="4"/>
        <v>5</v>
      </c>
      <c r="E38" s="112">
        <f ca="1">VLOOKUP(A38,'States by Mo'!$A$3:$AD$53,30,)</f>
        <v>3.2058333333333331</v>
      </c>
      <c r="F38" s="119">
        <f t="shared" ca="1" si="5"/>
        <v>8</v>
      </c>
      <c r="G38" s="112">
        <f>VLOOKUP(A38,template!$A$3:$P$53,8,)</f>
        <v>1</v>
      </c>
      <c r="H38" s="119">
        <f t="shared" ca="1" si="6"/>
        <v>6</v>
      </c>
      <c r="I38" s="116">
        <f ca="1">VLOOKUP(A38,'States by Mo'!$A$3:$BF$53,57,)</f>
        <v>0.93500000000000005</v>
      </c>
      <c r="J38" s="119">
        <f t="shared" ca="1" si="7"/>
        <v>5</v>
      </c>
    </row>
    <row r="39" spans="1:10" ht="12.75" customHeight="1" x14ac:dyDescent="0.3">
      <c r="A39" s="115" t="s">
        <v>43</v>
      </c>
      <c r="B39" s="113">
        <f>VLOOKUP(A39,template!$A$3:$P$53,15,)</f>
        <v>46023</v>
      </c>
      <c r="C39" s="118">
        <f>VLOOKUP(A39,template!$A$3:$P$53,7,)</f>
        <v>2.97</v>
      </c>
      <c r="D39" s="119">
        <f t="shared" ca="1" si="4"/>
        <v>4</v>
      </c>
      <c r="E39" s="112">
        <f ca="1">VLOOKUP(A39,'States by Mo'!$A$3:$AD$53,30,)</f>
        <v>2.7891666666666666</v>
      </c>
      <c r="F39" s="119">
        <f t="shared" ca="1" si="5"/>
        <v>4</v>
      </c>
      <c r="G39" s="112">
        <f>VLOOKUP(A39,template!$A$3:$P$53,8,)</f>
        <v>1.37</v>
      </c>
      <c r="H39" s="119">
        <f t="shared" ca="1" si="6"/>
        <v>3</v>
      </c>
      <c r="I39" s="116">
        <f ca="1">VLOOKUP(A39,'States by Mo'!$A$3:$BF$53,57,)</f>
        <v>1.2266666666666668</v>
      </c>
      <c r="J39" s="119">
        <f t="shared" ca="1" si="7"/>
        <v>3</v>
      </c>
    </row>
    <row r="40" spans="1:10" ht="12.75" customHeight="1" x14ac:dyDescent="0.3">
      <c r="A40" s="115" t="s">
        <v>64</v>
      </c>
      <c r="B40" s="113">
        <f>VLOOKUP(A40,template!$A$3:$P$53,15,)</f>
        <v>46023</v>
      </c>
      <c r="C40" s="118">
        <f>VLOOKUP(A40,template!$A$3:$P$53,7,)</f>
        <v>2.62</v>
      </c>
      <c r="D40" s="119">
        <f t="shared" ca="1" si="4"/>
        <v>3</v>
      </c>
      <c r="E40" s="112">
        <f ca="1">VLOOKUP(A40,'States by Mo'!$A$3:$AD$53,30,)</f>
        <v>2.7416666666666667</v>
      </c>
      <c r="F40" s="119">
        <f t="shared" ca="1" si="5"/>
        <v>3</v>
      </c>
      <c r="G40" s="112">
        <f>VLOOKUP(A40,template!$A$3:$P$53,8,)</f>
        <v>0.9</v>
      </c>
      <c r="H40" s="119">
        <f t="shared" ca="1" si="6"/>
        <v>9</v>
      </c>
      <c r="I40" s="116">
        <f ca="1">VLOOKUP(A40,'States by Mo'!$A$3:$BF$53,57,)</f>
        <v>0.70750000000000002</v>
      </c>
      <c r="J40" s="119">
        <f t="shared" ca="1" si="7"/>
        <v>11</v>
      </c>
    </row>
    <row r="41" spans="1:10" ht="12.75" customHeight="1" x14ac:dyDescent="0.3">
      <c r="A41" s="115" t="s">
        <v>48</v>
      </c>
      <c r="B41" s="113">
        <f>VLOOKUP(A41,template!$A$3:$P$53,15,)</f>
        <v>46023</v>
      </c>
      <c r="C41" s="118">
        <f>VLOOKUP(A41,template!$A$3:$P$53,7,)</f>
        <v>2.09</v>
      </c>
      <c r="D41" s="119">
        <f t="shared" ca="1" si="4"/>
        <v>2</v>
      </c>
      <c r="E41" s="112">
        <f ca="1">VLOOKUP(A41,'States by Mo'!$A$3:$AD$53,30,)</f>
        <v>1.9541666666666668</v>
      </c>
      <c r="F41" s="119">
        <f t="shared" ca="1" si="5"/>
        <v>2</v>
      </c>
      <c r="G41" s="112">
        <f>VLOOKUP(A41,template!$A$3:$P$53,8,)</f>
        <v>1.35</v>
      </c>
      <c r="H41" s="119">
        <f t="shared" ca="1" si="6"/>
        <v>4</v>
      </c>
      <c r="I41" s="116">
        <f ca="1">VLOOKUP(A41,'States by Mo'!$A$3:$BF$53,57,)</f>
        <v>1.3366666666666667</v>
      </c>
      <c r="J41" s="119">
        <f t="shared" ca="1" si="7"/>
        <v>2</v>
      </c>
    </row>
    <row r="42" spans="1:10" ht="12.75" customHeight="1" x14ac:dyDescent="0.3">
      <c r="A42" s="115" t="s">
        <v>68</v>
      </c>
      <c r="B42" s="113">
        <f>VLOOKUP(A42,template!$A$3:$P$53,15,)</f>
        <v>46023</v>
      </c>
      <c r="C42" s="118">
        <f>VLOOKUP(A42,template!$A$3:$P$53,7,)</f>
        <v>1.83</v>
      </c>
      <c r="D42" s="119">
        <f t="shared" ca="1" si="4"/>
        <v>1</v>
      </c>
      <c r="E42" s="112">
        <f ca="1">VLOOKUP(A42,'States by Mo'!$A$3:$AD$53,30,)</f>
        <v>1.9349999999999998</v>
      </c>
      <c r="F42" s="119">
        <f t="shared" ca="1" si="5"/>
        <v>1</v>
      </c>
      <c r="G42" s="112">
        <f>VLOOKUP(A42,template!$A$3:$P$53,8,)</f>
        <v>0.98</v>
      </c>
      <c r="H42" s="119">
        <f t="shared" ca="1" si="6"/>
        <v>7</v>
      </c>
      <c r="I42" s="116">
        <f ca="1">VLOOKUP(A42,'States by Mo'!$A$3:$BF$53,57,)</f>
        <v>0.95000000000000007</v>
      </c>
      <c r="J42" s="119">
        <f t="shared" ca="1" si="7"/>
        <v>4</v>
      </c>
    </row>
    <row r="43" spans="1:10" ht="12.75" customHeight="1" x14ac:dyDescent="0.3">
      <c r="A43" s="115" t="s">
        <v>25</v>
      </c>
      <c r="B43" s="113">
        <f>VLOOKUP(A43,template!$A$3:$P$53,15,)</f>
        <v>46113</v>
      </c>
      <c r="C43" s="118">
        <f>VLOOKUP(A43,template!$A$3:$P$53,7,)</f>
        <v>3.74</v>
      </c>
      <c r="D43" s="119">
        <f t="shared" ca="1" si="4"/>
        <v>10</v>
      </c>
      <c r="E43" s="112">
        <f ca="1">VLOOKUP(A43,'States by Mo'!$A$3:$AD$53,30,)</f>
        <v>3.7150000000000003</v>
      </c>
      <c r="F43" s="119">
        <f t="shared" ca="1" si="5"/>
        <v>10</v>
      </c>
      <c r="G43" s="112">
        <f>VLOOKUP(A43,template!$A$3:$P$53,8,)</f>
        <v>1.25</v>
      </c>
      <c r="H43" s="119">
        <f t="shared" ca="1" si="6"/>
        <v>2</v>
      </c>
      <c r="I43" s="116">
        <f ca="1">VLOOKUP(A43,'States by Mo'!$A$3:$BF$53,57,)</f>
        <v>1.4116666666666664</v>
      </c>
      <c r="J43" s="119">
        <f t="shared" ca="1" si="7"/>
        <v>1</v>
      </c>
    </row>
    <row r="44" spans="1:10" ht="12.75" customHeight="1" x14ac:dyDescent="0.3">
      <c r="A44" s="115" t="s">
        <v>30</v>
      </c>
      <c r="B44" s="113">
        <f>VLOOKUP(A44,template!$A$3:$P$53,15,)</f>
        <v>46113</v>
      </c>
      <c r="C44" s="118">
        <f>VLOOKUP(A44,template!$A$3:$P$53,7,)</f>
        <v>3.56</v>
      </c>
      <c r="D44" s="119">
        <f t="shared" ca="1" si="4"/>
        <v>9</v>
      </c>
      <c r="E44" s="112">
        <f ca="1">VLOOKUP(A44,'States by Mo'!$A$3:$AD$53,30,)</f>
        <v>3.64</v>
      </c>
      <c r="F44" s="119">
        <f t="shared" ca="1" si="5"/>
        <v>9</v>
      </c>
      <c r="G44" s="112">
        <f>VLOOKUP(A44,template!$A$3:$P$53,8,)</f>
        <v>0.98</v>
      </c>
      <c r="H44" s="119">
        <f t="shared" ca="1" si="6"/>
        <v>4</v>
      </c>
      <c r="I44" s="116">
        <f ca="1">VLOOKUP(A44,'States by Mo'!$A$3:$BF$53,57,)</f>
        <v>1.1375</v>
      </c>
      <c r="J44" s="119">
        <f t="shared" ca="1" si="7"/>
        <v>4</v>
      </c>
    </row>
    <row r="45" spans="1:10" ht="12.75" customHeight="1" x14ac:dyDescent="0.3">
      <c r="A45" s="115" t="s">
        <v>36</v>
      </c>
      <c r="B45" s="113">
        <f>VLOOKUP(A45,template!$A$3:$P$53,15,)</f>
        <v>46113</v>
      </c>
      <c r="C45" s="118">
        <f>VLOOKUP(A45,template!$A$3:$P$53,7,)</f>
        <v>3.43</v>
      </c>
      <c r="D45" s="119">
        <f t="shared" ca="1" si="4"/>
        <v>8</v>
      </c>
      <c r="E45" s="112">
        <f ca="1">VLOOKUP(A45,'States by Mo'!$A$3:$AD$53,30,)</f>
        <v>2.89</v>
      </c>
      <c r="F45" s="119">
        <f t="shared" ca="1" si="5"/>
        <v>7</v>
      </c>
      <c r="G45" s="112">
        <f>VLOOKUP(A45,template!$A$3:$P$53,8,)</f>
        <v>0.7</v>
      </c>
      <c r="H45" s="119">
        <f t="shared" ca="1" si="6"/>
        <v>10</v>
      </c>
      <c r="I45" s="116">
        <f ca="1">VLOOKUP(A45,'States by Mo'!$A$3:$BF$53,57,)</f>
        <v>1.2024999999999999</v>
      </c>
      <c r="J45" s="119">
        <f t="shared" ca="1" si="7"/>
        <v>3</v>
      </c>
    </row>
    <row r="46" spans="1:10" ht="12.75" customHeight="1" x14ac:dyDescent="0.3">
      <c r="A46" s="115" t="s">
        <v>33</v>
      </c>
      <c r="B46" s="113">
        <f>VLOOKUP(A46,template!$A$3:$P$53,15,)</f>
        <v>46113</v>
      </c>
      <c r="C46" s="118">
        <f>VLOOKUP(A46,template!$A$3:$P$53,7,)</f>
        <v>3.33</v>
      </c>
      <c r="D46" s="119">
        <f t="shared" ca="1" si="4"/>
        <v>7</v>
      </c>
      <c r="E46" s="112">
        <f ca="1">VLOOKUP(A46,'States by Mo'!$A$3:$AD$53,30,)</f>
        <v>3.43</v>
      </c>
      <c r="F46" s="119">
        <f t="shared" ca="1" si="5"/>
        <v>8</v>
      </c>
      <c r="G46" s="112">
        <f>VLOOKUP(A46,template!$A$3:$P$53,8,)</f>
        <v>0.99</v>
      </c>
      <c r="H46" s="119">
        <f t="shared" ca="1" si="6"/>
        <v>3</v>
      </c>
      <c r="I46" s="116">
        <f ca="1">VLOOKUP(A46,'States by Mo'!$A$3:$BF$53,57,)</f>
        <v>1.0783333333333334</v>
      </c>
      <c r="J46" s="119">
        <f t="shared" ca="1" si="7"/>
        <v>5</v>
      </c>
    </row>
    <row r="47" spans="1:10" ht="12.75" customHeight="1" x14ac:dyDescent="0.3">
      <c r="A47" s="115" t="s">
        <v>61</v>
      </c>
      <c r="B47" s="113">
        <f>VLOOKUP(A47,template!$A$3:$P$53,15,)</f>
        <v>46113</v>
      </c>
      <c r="C47" s="118">
        <f>VLOOKUP(A47,template!$A$3:$P$53,7,)</f>
        <v>2.4500000000000002</v>
      </c>
      <c r="D47" s="119">
        <f t="shared" ca="1" si="4"/>
        <v>6</v>
      </c>
      <c r="E47" s="112">
        <f ca="1">VLOOKUP(A47,'States by Mo'!$A$3:$AD$53,30,)</f>
        <v>2.270833333333333</v>
      </c>
      <c r="F47" s="119">
        <f t="shared" ca="1" si="5"/>
        <v>5</v>
      </c>
      <c r="G47" s="112">
        <f>VLOOKUP(A47,template!$A$3:$P$53,8,)</f>
        <v>0.85</v>
      </c>
      <c r="H47" s="119">
        <f t="shared" ca="1" si="6"/>
        <v>6</v>
      </c>
      <c r="I47" s="116">
        <f ca="1">VLOOKUP(A47,'States by Mo'!$A$3:$BF$53,57,)</f>
        <v>0.94916666666666671</v>
      </c>
      <c r="J47" s="119">
        <f t="shared" ca="1" si="7"/>
        <v>8</v>
      </c>
    </row>
    <row r="48" spans="1:10" ht="12.75" customHeight="1" x14ac:dyDescent="0.3">
      <c r="A48" s="115" t="s">
        <v>58</v>
      </c>
      <c r="B48" s="113">
        <f>VLOOKUP(A48,template!$A$3:$P$53,15,)</f>
        <v>46113</v>
      </c>
      <c r="C48" s="118">
        <f>VLOOKUP(A48,template!$A$3:$P$53,7,)</f>
        <v>2.41</v>
      </c>
      <c r="D48" s="119">
        <f t="shared" ca="1" si="4"/>
        <v>5</v>
      </c>
      <c r="E48" s="112">
        <f ca="1">VLOOKUP(A48,'States by Mo'!$A$3:$AD$53,30,)</f>
        <v>2.2108333333333334</v>
      </c>
      <c r="F48" s="119">
        <f t="shared" ca="1" si="5"/>
        <v>3</v>
      </c>
      <c r="G48" s="112">
        <f>VLOOKUP(A48,template!$A$3:$P$53,8,)</f>
        <v>0.81</v>
      </c>
      <c r="H48" s="119">
        <f t="shared" ca="1" si="6"/>
        <v>8</v>
      </c>
      <c r="I48" s="116">
        <f ca="1">VLOOKUP(A48,'States by Mo'!$A$3:$BF$53,57,)</f>
        <v>0.97250000000000003</v>
      </c>
      <c r="J48" s="119">
        <f t="shared" ca="1" si="7"/>
        <v>7</v>
      </c>
    </row>
    <row r="49" spans="1:10" ht="12.75" customHeight="1" x14ac:dyDescent="0.3">
      <c r="A49" s="115" t="s">
        <v>60</v>
      </c>
      <c r="B49" s="113">
        <f>VLOOKUP(A49,template!$A$3:$P$53,15,)</f>
        <v>46113</v>
      </c>
      <c r="C49" s="118">
        <f>VLOOKUP(A49,template!$A$3:$P$53,7,)</f>
        <v>2.36</v>
      </c>
      <c r="D49" s="119">
        <f t="shared" ca="1" si="4"/>
        <v>4</v>
      </c>
      <c r="E49" s="112">
        <f ca="1">VLOOKUP(A49,'States by Mo'!$A$3:$AD$53,30,)</f>
        <v>2.4541666666666666</v>
      </c>
      <c r="F49" s="119">
        <f t="shared" ca="1" si="5"/>
        <v>6</v>
      </c>
      <c r="G49" s="112">
        <f>VLOOKUP(A49,template!$A$3:$P$53,8,)</f>
        <v>0.8</v>
      </c>
      <c r="H49" s="119">
        <f t="shared" ca="1" si="6"/>
        <v>9</v>
      </c>
      <c r="I49" s="116">
        <f ca="1">VLOOKUP(A49,'States by Mo'!$A$3:$BF$53,57,)</f>
        <v>0.85</v>
      </c>
      <c r="J49" s="119">
        <f t="shared" ca="1" si="7"/>
        <v>10</v>
      </c>
    </row>
    <row r="50" spans="1:10" ht="12.75" customHeight="1" x14ac:dyDescent="0.3">
      <c r="A50" s="115" t="s">
        <v>62</v>
      </c>
      <c r="B50" s="113">
        <f>VLOOKUP(A50,template!$A$3:$P$53,15,)</f>
        <v>46113</v>
      </c>
      <c r="C50" s="118">
        <f>VLOOKUP(A50,template!$A$3:$P$53,7,)</f>
        <v>2.11</v>
      </c>
      <c r="D50" s="119">
        <f t="shared" ca="1" si="4"/>
        <v>3</v>
      </c>
      <c r="E50" s="112">
        <f ca="1">VLOOKUP(A50,'States by Mo'!$A$3:$AD$53,30,)</f>
        <v>2.1366666666666663</v>
      </c>
      <c r="F50" s="119">
        <f t="shared" ca="1" si="5"/>
        <v>2</v>
      </c>
      <c r="G50" s="112">
        <f>VLOOKUP(A50,template!$A$3:$P$53,8,)</f>
        <v>0.86</v>
      </c>
      <c r="H50" s="119">
        <f t="shared" ca="1" si="6"/>
        <v>5</v>
      </c>
      <c r="I50" s="116">
        <f ca="1">VLOOKUP(A50,'States by Mo'!$A$3:$BF$53,57,)</f>
        <v>1.0475000000000001</v>
      </c>
      <c r="J50" s="119">
        <f t="shared" ca="1" si="7"/>
        <v>6</v>
      </c>
    </row>
    <row r="51" spans="1:10" ht="12.75" customHeight="1" x14ac:dyDescent="0.3">
      <c r="A51" s="115" t="s">
        <v>54</v>
      </c>
      <c r="B51" s="113">
        <f>VLOOKUP(A51,template!$A$3:$P$53,15,)</f>
        <v>46113</v>
      </c>
      <c r="C51" s="118">
        <f>VLOOKUP(A51,template!$A$3:$P$53,7,)</f>
        <v>2.04</v>
      </c>
      <c r="D51" s="119">
        <f t="shared" ca="1" si="4"/>
        <v>2</v>
      </c>
      <c r="E51" s="112">
        <f ca="1">VLOOKUP(A51,'States by Mo'!$A$3:$AD$53,30,)</f>
        <v>2.2341666666666664</v>
      </c>
      <c r="F51" s="119">
        <f t="shared" ca="1" si="5"/>
        <v>4</v>
      </c>
      <c r="G51" s="112">
        <f>VLOOKUP(A51,template!$A$3:$P$53,8,)</f>
        <v>1.35</v>
      </c>
      <c r="H51" s="119">
        <f t="shared" ca="1" si="6"/>
        <v>1</v>
      </c>
      <c r="I51" s="116">
        <f ca="1">VLOOKUP(A51,'States by Mo'!$A$3:$BF$53,57,)</f>
        <v>1.3316666666666668</v>
      </c>
      <c r="J51" s="119">
        <f t="shared" ca="1" si="7"/>
        <v>2</v>
      </c>
    </row>
    <row r="52" spans="1:10" ht="12.75" customHeight="1" x14ac:dyDescent="0.3">
      <c r="A52" s="115" t="s">
        <v>67</v>
      </c>
      <c r="B52" s="113">
        <f>VLOOKUP(A52,template!$A$3:$P$53,15,)</f>
        <v>46113</v>
      </c>
      <c r="C52" s="118">
        <f>VLOOKUP(A52,template!$A$3:$P$53,7,)</f>
        <v>1.97</v>
      </c>
      <c r="D52" s="119">
        <f t="shared" ca="1" si="4"/>
        <v>1</v>
      </c>
      <c r="E52" s="112">
        <f ca="1">VLOOKUP(A52,'States by Mo'!$A$3:$AD$53,30,)</f>
        <v>2.0791666666666671</v>
      </c>
      <c r="F52" s="119">
        <f t="shared" ca="1" si="5"/>
        <v>1</v>
      </c>
      <c r="G52" s="112">
        <f>VLOOKUP(A52,template!$A$3:$P$53,8,)</f>
        <v>0.83</v>
      </c>
      <c r="H52" s="119">
        <f t="shared" ca="1" si="6"/>
        <v>7</v>
      </c>
      <c r="I52" s="116">
        <f ca="1">VLOOKUP(A52,'States by Mo'!$A$3:$BF$53,57,)</f>
        <v>0.85166666666666668</v>
      </c>
      <c r="J52" s="119">
        <f t="shared" ca="1" si="7"/>
        <v>9</v>
      </c>
    </row>
    <row r="53" spans="1:10" ht="12.75" customHeight="1" x14ac:dyDescent="0.3">
      <c r="A53" s="130"/>
      <c r="B53" s="132"/>
      <c r="C53" s="131"/>
      <c r="D53" s="133"/>
      <c r="E53" s="131"/>
      <c r="F53" s="133"/>
      <c r="G53" s="131"/>
      <c r="H53" s="133"/>
      <c r="I53" s="134"/>
      <c r="J53" s="133"/>
    </row>
    <row r="54" spans="1:10" ht="12.75" customHeight="1" x14ac:dyDescent="0.3"/>
    <row r="55" spans="1:10" ht="12.75" customHeight="1" x14ac:dyDescent="0.3"/>
    <row r="56" spans="1:10" ht="12.75" customHeight="1" x14ac:dyDescent="0.3"/>
    <row r="57" spans="1:10" ht="12.75" customHeight="1" x14ac:dyDescent="0.3"/>
    <row r="58" spans="1:10" ht="12.75" customHeight="1" x14ac:dyDescent="0.3"/>
    <row r="59" spans="1:10" ht="12.75" customHeight="1" x14ac:dyDescent="0.3"/>
    <row r="60" spans="1:10" ht="12.75" customHeight="1" x14ac:dyDescent="0.35">
      <c r="A60" s="158"/>
      <c r="B60" s="140"/>
      <c r="C60" s="131"/>
      <c r="D60" s="156"/>
      <c r="E60" s="176" t="s">
        <v>143</v>
      </c>
      <c r="F60" s="133"/>
      <c r="G60" s="157"/>
      <c r="H60" s="133"/>
      <c r="I60" s="155"/>
      <c r="J60" s="141" t="str">
        <f>template!$B$1</f>
        <v>04/30/2026</v>
      </c>
    </row>
    <row r="61" spans="1:10" ht="48" x14ac:dyDescent="0.3">
      <c r="A61" s="149" t="s">
        <v>2</v>
      </c>
      <c r="B61" s="150" t="s">
        <v>135</v>
      </c>
      <c r="C61" s="151" t="str">
        <f>"Ratio of Unexpended to Grant in "&amp;TEXT('LOCCS Import'!C1,"MMM")</f>
        <v>Ratio of Unexpended to Grant in Apr</v>
      </c>
      <c r="D61" s="152" t="s">
        <v>136</v>
      </c>
      <c r="E61" s="153" t="s">
        <v>137</v>
      </c>
      <c r="F61" s="154" t="s">
        <v>138</v>
      </c>
      <c r="G61" s="153" t="s">
        <v>139</v>
      </c>
      <c r="H61" s="154" t="s">
        <v>140</v>
      </c>
      <c r="I61" s="153" t="s">
        <v>141</v>
      </c>
      <c r="J61" s="154" t="s">
        <v>142</v>
      </c>
    </row>
    <row r="62" spans="1:10" ht="12.75" customHeight="1" x14ac:dyDescent="0.3">
      <c r="A62" s="139" t="s">
        <v>19</v>
      </c>
      <c r="B62" s="140">
        <f>VLOOKUP(A62,template!$A$3:$P$53,15,)</f>
        <v>45839</v>
      </c>
      <c r="C62" s="136">
        <f>VLOOKUP(A62,template!$A$3:$P$53,7,)</f>
        <v>6.22</v>
      </c>
      <c r="D62" s="133">
        <f t="shared" ref="D62:D93" si="8">RANK(C62,$C$62:$C$111,1)</f>
        <v>50</v>
      </c>
      <c r="E62" s="136">
        <f ca="1">VLOOKUP(A62,'States by Mo'!$A$3:$AD$53,30,)</f>
        <v>5.8716666666666661</v>
      </c>
      <c r="F62" s="133">
        <f t="shared" ref="F62:F93" ca="1" si="9">RANK(E62,$E$62:$E$111,1)</f>
        <v>50</v>
      </c>
      <c r="G62" s="136">
        <f>VLOOKUP(A62,template!$A$3:$P$53,8,)</f>
        <v>0.93</v>
      </c>
      <c r="H62" s="133">
        <f t="shared" ref="H62:H93" si="10">RANK(G62,$G$62:$G$111,)</f>
        <v>23</v>
      </c>
      <c r="I62" s="137">
        <f ca="1">VLOOKUP(A62,'States by Mo'!$A$3:$BF$53,57,)</f>
        <v>0.82</v>
      </c>
      <c r="J62" s="141">
        <f t="shared" ref="J62:J93" ca="1" si="11">RANK(I62,$I$62:$I$111,)</f>
        <v>40</v>
      </c>
    </row>
    <row r="63" spans="1:10" ht="12.75" customHeight="1" x14ac:dyDescent="0.3">
      <c r="A63" s="142" t="s">
        <v>22</v>
      </c>
      <c r="B63" s="113">
        <f>VLOOKUP(A63,template!$A$3:$P$53,15,)</f>
        <v>45839</v>
      </c>
      <c r="C63" s="118">
        <f>VLOOKUP(A63,template!$A$3:$P$53,7,)</f>
        <v>5.49</v>
      </c>
      <c r="D63" s="93">
        <f t="shared" si="8"/>
        <v>49</v>
      </c>
      <c r="E63" s="118">
        <f ca="1">VLOOKUP(A63,'States by Mo'!$A$3:$AD$53,30,)</f>
        <v>5.47</v>
      </c>
      <c r="F63" s="93">
        <f t="shared" ca="1" si="9"/>
        <v>49</v>
      </c>
      <c r="G63" s="118">
        <f>VLOOKUP(A63,template!$A$3:$P$53,8,)</f>
        <v>0.78</v>
      </c>
      <c r="H63" s="93">
        <f t="shared" si="10"/>
        <v>41</v>
      </c>
      <c r="I63" s="138">
        <f ca="1">VLOOKUP(A63,'States by Mo'!$A$3:$BF$53,57,)</f>
        <v>0.89083333333333325</v>
      </c>
      <c r="J63" s="119">
        <f t="shared" ca="1" si="11"/>
        <v>31</v>
      </c>
    </row>
    <row r="64" spans="1:10" ht="12.75" customHeight="1" x14ac:dyDescent="0.3">
      <c r="A64" s="142" t="s">
        <v>21</v>
      </c>
      <c r="B64" s="113">
        <f>VLOOKUP(A64,template!$A$3:$P$53,15,)</f>
        <v>46023</v>
      </c>
      <c r="C64" s="118">
        <f>VLOOKUP(A64,template!$A$3:$P$53,7,)</f>
        <v>5.35</v>
      </c>
      <c r="D64" s="93">
        <f t="shared" si="8"/>
        <v>48</v>
      </c>
      <c r="E64" s="118">
        <f ca="1">VLOOKUP(A64,'States by Mo'!$A$3:$AD$53,30,)</f>
        <v>5.4241666666666672</v>
      </c>
      <c r="F64" s="93">
        <f t="shared" ca="1" si="9"/>
        <v>48</v>
      </c>
      <c r="G64" s="118">
        <f>VLOOKUP(A64,template!$A$3:$P$53,8,)</f>
        <v>0.94</v>
      </c>
      <c r="H64" s="93">
        <f t="shared" si="10"/>
        <v>21</v>
      </c>
      <c r="I64" s="138">
        <f ca="1">VLOOKUP(A64,'States by Mo'!$A$3:$BF$53,57,)</f>
        <v>0.93083333333333329</v>
      </c>
      <c r="J64" s="119">
        <f t="shared" ca="1" si="11"/>
        <v>27</v>
      </c>
    </row>
    <row r="65" spans="1:10" ht="12.75" customHeight="1" x14ac:dyDescent="0.3">
      <c r="A65" s="142" t="s">
        <v>24</v>
      </c>
      <c r="B65" s="113">
        <f>VLOOKUP(A65,template!$A$3:$P$53,15,)</f>
        <v>45839</v>
      </c>
      <c r="C65" s="118">
        <f>VLOOKUP(A65,template!$A$3:$P$53,7,)</f>
        <v>5.34</v>
      </c>
      <c r="D65" s="93">
        <f t="shared" si="8"/>
        <v>47</v>
      </c>
      <c r="E65" s="118">
        <f ca="1">VLOOKUP(A65,'States by Mo'!$A$3:$AD$53,30,)</f>
        <v>5.3516666666666666</v>
      </c>
      <c r="F65" s="93">
        <f t="shared" ca="1" si="9"/>
        <v>47</v>
      </c>
      <c r="G65" s="118">
        <f>VLOOKUP(A65,template!$A$3:$P$53,8,)</f>
        <v>0.66</v>
      </c>
      <c r="H65" s="93">
        <f t="shared" si="10"/>
        <v>46</v>
      </c>
      <c r="I65" s="138">
        <f ca="1">VLOOKUP(A65,'States by Mo'!$A$3:$BF$53,57,)</f>
        <v>0.54</v>
      </c>
      <c r="J65" s="119">
        <f t="shared" ca="1" si="11"/>
        <v>49</v>
      </c>
    </row>
    <row r="66" spans="1:10" ht="12.75" customHeight="1" x14ac:dyDescent="0.3">
      <c r="A66" s="142" t="s">
        <v>31</v>
      </c>
      <c r="B66" s="113">
        <f>VLOOKUP(A66,template!$A$3:$P$53,15,)</f>
        <v>46023</v>
      </c>
      <c r="C66" s="118">
        <f>VLOOKUP(A66,template!$A$3:$P$53,7,)</f>
        <v>4.2</v>
      </c>
      <c r="D66" s="93">
        <f t="shared" si="8"/>
        <v>46</v>
      </c>
      <c r="E66" s="118">
        <f ca="1">VLOOKUP(A66,'States by Mo'!$A$3:$AD$53,30,)</f>
        <v>4.0433333333333339</v>
      </c>
      <c r="F66" s="93">
        <f t="shared" ca="1" si="9"/>
        <v>41</v>
      </c>
      <c r="G66" s="118">
        <f>VLOOKUP(A66,template!$A$3:$P$53,8,)</f>
        <v>1.05</v>
      </c>
      <c r="H66" s="93">
        <f t="shared" si="10"/>
        <v>14</v>
      </c>
      <c r="I66" s="138">
        <f ca="1">VLOOKUP(A66,'States by Mo'!$A$3:$BF$53,57,)</f>
        <v>0.89666666666666683</v>
      </c>
      <c r="J66" s="119">
        <f t="shared" ca="1" si="11"/>
        <v>30</v>
      </c>
    </row>
    <row r="67" spans="1:10" ht="12.75" customHeight="1" x14ac:dyDescent="0.3">
      <c r="A67" s="142" t="s">
        <v>26</v>
      </c>
      <c r="B67" s="113">
        <f>VLOOKUP(A67,template!$A$3:$P$53,15,)</f>
        <v>46023</v>
      </c>
      <c r="C67" s="118">
        <f>VLOOKUP(A67,template!$A$3:$P$53,7,)</f>
        <v>4.1900000000000004</v>
      </c>
      <c r="D67" s="93">
        <f t="shared" si="8"/>
        <v>45</v>
      </c>
      <c r="E67" s="118">
        <f ca="1">VLOOKUP(A67,'States by Mo'!$A$3:$AD$53,30,)</f>
        <v>4.583333333333333</v>
      </c>
      <c r="F67" s="93">
        <f t="shared" ca="1" si="9"/>
        <v>46</v>
      </c>
      <c r="G67" s="118">
        <f>VLOOKUP(A67,template!$A$3:$P$53,8,)</f>
        <v>1.45</v>
      </c>
      <c r="H67" s="93">
        <f t="shared" si="10"/>
        <v>5</v>
      </c>
      <c r="I67" s="138">
        <f ca="1">VLOOKUP(A67,'States by Mo'!$A$3:$BF$53,57,)</f>
        <v>0.82500000000000007</v>
      </c>
      <c r="J67" s="119">
        <f t="shared" ca="1" si="11"/>
        <v>39</v>
      </c>
    </row>
    <row r="68" spans="1:10" ht="12.75" customHeight="1" x14ac:dyDescent="0.3">
      <c r="A68" s="142" t="s">
        <v>27</v>
      </c>
      <c r="B68" s="113">
        <f>VLOOKUP(A68,template!$A$3:$P$53,15,)</f>
        <v>45931</v>
      </c>
      <c r="C68" s="118">
        <f>VLOOKUP(A68,template!$A$3:$P$53,7,)</f>
        <v>4.09</v>
      </c>
      <c r="D68" s="93">
        <f t="shared" si="8"/>
        <v>44</v>
      </c>
      <c r="E68" s="118">
        <f ca="1">VLOOKUP(A68,'States by Mo'!$A$3:$AD$53,30,)</f>
        <v>4.1933333333333342</v>
      </c>
      <c r="F68" s="93">
        <f t="shared" ca="1" si="9"/>
        <v>45</v>
      </c>
      <c r="G68" s="118">
        <f>VLOOKUP(A68,template!$A$3:$P$53,8,)</f>
        <v>0.91</v>
      </c>
      <c r="H68" s="93">
        <f t="shared" si="10"/>
        <v>25</v>
      </c>
      <c r="I68" s="138">
        <f ca="1">VLOOKUP(A68,'States by Mo'!$A$3:$BF$53,57,)</f>
        <v>0.88500000000000012</v>
      </c>
      <c r="J68" s="119">
        <f t="shared" ca="1" si="11"/>
        <v>32</v>
      </c>
    </row>
    <row r="69" spans="1:10" ht="12.75" customHeight="1" x14ac:dyDescent="0.3">
      <c r="A69" s="142" t="s">
        <v>28</v>
      </c>
      <c r="B69" s="113">
        <f>VLOOKUP(A69,template!$A$3:$P$53,15,)</f>
        <v>45839</v>
      </c>
      <c r="C69" s="118">
        <f>VLOOKUP(A69,template!$A$3:$P$53,7,)</f>
        <v>4.0599999999999996</v>
      </c>
      <c r="D69" s="93">
        <f t="shared" si="8"/>
        <v>42</v>
      </c>
      <c r="E69" s="118">
        <f ca="1">VLOOKUP(A69,'States by Mo'!$A$3:$AD$53,30,)</f>
        <v>4.1250000000000009</v>
      </c>
      <c r="F69" s="93">
        <f t="shared" ca="1" si="9"/>
        <v>42</v>
      </c>
      <c r="G69" s="118">
        <f>VLOOKUP(A69,template!$A$3:$P$53,8,)</f>
        <v>0.99</v>
      </c>
      <c r="H69" s="93">
        <f t="shared" si="10"/>
        <v>16</v>
      </c>
      <c r="I69" s="138">
        <f ca="1">VLOOKUP(A69,'States by Mo'!$A$3:$BF$53,57,)</f>
        <v>0.96749999999999992</v>
      </c>
      <c r="J69" s="119">
        <f t="shared" ca="1" si="11"/>
        <v>22</v>
      </c>
    </row>
    <row r="70" spans="1:10" ht="12.75" customHeight="1" x14ac:dyDescent="0.3">
      <c r="A70" s="142" t="s">
        <v>32</v>
      </c>
      <c r="B70" s="113">
        <f>VLOOKUP(A70,template!$A$3:$P$53,15,)</f>
        <v>45839</v>
      </c>
      <c r="C70" s="118">
        <f>VLOOKUP(A70,template!$A$3:$P$53,7,)</f>
        <v>4.0599999999999996</v>
      </c>
      <c r="D70" s="93">
        <f t="shared" si="8"/>
        <v>42</v>
      </c>
      <c r="E70" s="118">
        <f ca="1">VLOOKUP(A70,'States by Mo'!$A$3:$AD$53,30,)</f>
        <v>4.1308333333333334</v>
      </c>
      <c r="F70" s="93">
        <f t="shared" ca="1" si="9"/>
        <v>43</v>
      </c>
      <c r="G70" s="118">
        <f>VLOOKUP(A70,template!$A$3:$P$53,8,)</f>
        <v>0.83</v>
      </c>
      <c r="H70" s="93">
        <f t="shared" si="10"/>
        <v>33</v>
      </c>
      <c r="I70" s="138">
        <f ca="1">VLOOKUP(A70,'States by Mo'!$A$3:$BF$53,57,)</f>
        <v>0.76916666666666689</v>
      </c>
      <c r="J70" s="119">
        <f t="shared" ca="1" si="11"/>
        <v>44</v>
      </c>
    </row>
    <row r="71" spans="1:10" ht="12.75" customHeight="1" x14ac:dyDescent="0.3">
      <c r="A71" s="142" t="s">
        <v>39</v>
      </c>
      <c r="B71" s="113">
        <f>VLOOKUP(A71,template!$A$3:$P$53,15,)</f>
        <v>45839</v>
      </c>
      <c r="C71" s="118">
        <f>VLOOKUP(A71,template!$A$3:$P$53,7,)</f>
        <v>4.05</v>
      </c>
      <c r="D71" s="93">
        <f t="shared" si="8"/>
        <v>41</v>
      </c>
      <c r="E71" s="118">
        <f ca="1">VLOOKUP(A71,'States by Mo'!$A$3:$AD$53,30,)</f>
        <v>4.0358333333333327</v>
      </c>
      <c r="F71" s="93">
        <f t="shared" ca="1" si="9"/>
        <v>40</v>
      </c>
      <c r="G71" s="118">
        <f>VLOOKUP(A71,template!$A$3:$P$53,8,)</f>
        <v>0.64</v>
      </c>
      <c r="H71" s="93">
        <f t="shared" si="10"/>
        <v>48</v>
      </c>
      <c r="I71" s="138">
        <f ca="1">VLOOKUP(A71,'States by Mo'!$A$3:$BF$53,57,)</f>
        <v>0.52999999999999992</v>
      </c>
      <c r="J71" s="119">
        <f t="shared" ca="1" si="11"/>
        <v>50</v>
      </c>
    </row>
    <row r="72" spans="1:10" ht="12.75" customHeight="1" x14ac:dyDescent="0.3">
      <c r="A72" s="142" t="s">
        <v>35</v>
      </c>
      <c r="B72" s="113">
        <f>VLOOKUP(A72,template!$A$3:$P$53,15,)</f>
        <v>45839</v>
      </c>
      <c r="C72" s="118">
        <f>VLOOKUP(A72,template!$A$3:$P$53,7,)</f>
        <v>4.04</v>
      </c>
      <c r="D72" s="93">
        <f t="shared" si="8"/>
        <v>40</v>
      </c>
      <c r="E72" s="118">
        <f ca="1">VLOOKUP(A72,'States by Mo'!$A$3:$AD$53,30,)</f>
        <v>4.0233333333333343</v>
      </c>
      <c r="F72" s="93">
        <f t="shared" ca="1" si="9"/>
        <v>39</v>
      </c>
      <c r="G72" s="118">
        <f>VLOOKUP(A72,template!$A$3:$P$53,8,)</f>
        <v>0.63</v>
      </c>
      <c r="H72" s="93">
        <f t="shared" si="10"/>
        <v>49</v>
      </c>
      <c r="I72" s="138">
        <f ca="1">VLOOKUP(A72,'States by Mo'!$A$3:$BF$53,57,)</f>
        <v>0.67916666666666659</v>
      </c>
      <c r="J72" s="119">
        <f t="shared" ca="1" si="11"/>
        <v>46</v>
      </c>
    </row>
    <row r="73" spans="1:10" ht="12.75" customHeight="1" x14ac:dyDescent="0.3">
      <c r="A73" s="142" t="s">
        <v>23</v>
      </c>
      <c r="B73" s="113">
        <f>VLOOKUP(A73,template!$A$3:$P$53,15,)</f>
        <v>46023</v>
      </c>
      <c r="C73" s="118">
        <f>VLOOKUP(A73,template!$A$3:$P$53,7,)</f>
        <v>4.01</v>
      </c>
      <c r="D73" s="93">
        <f t="shared" si="8"/>
        <v>39</v>
      </c>
      <c r="E73" s="118">
        <f ca="1">VLOOKUP(A73,'States by Mo'!$A$3:$AD$53,30,)</f>
        <v>4.1599999999999993</v>
      </c>
      <c r="F73" s="93">
        <f t="shared" ca="1" si="9"/>
        <v>44</v>
      </c>
      <c r="G73" s="118">
        <f>VLOOKUP(A73,template!$A$3:$P$53,8,)</f>
        <v>1.98</v>
      </c>
      <c r="H73" s="93">
        <f t="shared" si="10"/>
        <v>1</v>
      </c>
      <c r="I73" s="138">
        <f ca="1">VLOOKUP(A73,'States by Mo'!$A$3:$BF$53,57,)</f>
        <v>1.4966666666666668</v>
      </c>
      <c r="J73" s="119">
        <f t="shared" ca="1" si="11"/>
        <v>1</v>
      </c>
    </row>
    <row r="74" spans="1:10" ht="12.75" customHeight="1" x14ac:dyDescent="0.3">
      <c r="A74" s="142" t="s">
        <v>25</v>
      </c>
      <c r="B74" s="113">
        <f>VLOOKUP(A74,template!$A$3:$P$53,15,)</f>
        <v>46113</v>
      </c>
      <c r="C74" s="118">
        <f>VLOOKUP(A74,template!$A$3:$P$53,7,)</f>
        <v>3.74</v>
      </c>
      <c r="D74" s="93">
        <f t="shared" si="8"/>
        <v>38</v>
      </c>
      <c r="E74" s="118">
        <f ca="1">VLOOKUP(A74,'States by Mo'!$A$3:$AD$53,30,)</f>
        <v>3.7150000000000003</v>
      </c>
      <c r="F74" s="93">
        <f t="shared" ca="1" si="9"/>
        <v>35</v>
      </c>
      <c r="G74" s="118">
        <f>VLOOKUP(A74,template!$A$3:$P$53,8,)</f>
        <v>1.25</v>
      </c>
      <c r="H74" s="93">
        <f t="shared" si="10"/>
        <v>10</v>
      </c>
      <c r="I74" s="138">
        <f ca="1">VLOOKUP(A74,'States by Mo'!$A$3:$BF$53,57,)</f>
        <v>1.4116666666666664</v>
      </c>
      <c r="J74" s="119">
        <f t="shared" ca="1" si="11"/>
        <v>4</v>
      </c>
    </row>
    <row r="75" spans="1:10" ht="12.75" customHeight="1" x14ac:dyDescent="0.3">
      <c r="A75" s="142" t="s">
        <v>40</v>
      </c>
      <c r="B75" s="113">
        <f>VLOOKUP(A75,template!$A$3:$P$53,15,)</f>
        <v>45839</v>
      </c>
      <c r="C75" s="118">
        <f>VLOOKUP(A75,template!$A$3:$P$53,7,)</f>
        <v>3.7</v>
      </c>
      <c r="D75" s="93">
        <f t="shared" si="8"/>
        <v>37</v>
      </c>
      <c r="E75" s="118">
        <f ca="1">VLOOKUP(A75,'States by Mo'!$A$3:$AD$53,30,)</f>
        <v>3.3241666666666667</v>
      </c>
      <c r="F75" s="93">
        <f t="shared" ca="1" si="9"/>
        <v>31</v>
      </c>
      <c r="G75" s="118">
        <f>VLOOKUP(A75,template!$A$3:$P$53,8,)</f>
        <v>1.35</v>
      </c>
      <c r="H75" s="93">
        <f t="shared" si="10"/>
        <v>7</v>
      </c>
      <c r="I75" s="138">
        <f ca="1">VLOOKUP(A75,'States by Mo'!$A$3:$BF$53,57,)</f>
        <v>1.4541666666666668</v>
      </c>
      <c r="J75" s="119">
        <f t="shared" ca="1" si="11"/>
        <v>3</v>
      </c>
    </row>
    <row r="76" spans="1:10" ht="12.75" customHeight="1" x14ac:dyDescent="0.3">
      <c r="A76" s="142" t="s">
        <v>47</v>
      </c>
      <c r="B76" s="113">
        <f>VLOOKUP(A76,template!$A$3:$P$53,15,)</f>
        <v>45839</v>
      </c>
      <c r="C76" s="118">
        <f>VLOOKUP(A76,template!$A$3:$P$53,7,)</f>
        <v>3.67</v>
      </c>
      <c r="D76" s="93">
        <f t="shared" si="8"/>
        <v>36</v>
      </c>
      <c r="E76" s="118">
        <f ca="1">VLOOKUP(A76,'States by Mo'!$A$3:$AD$53,30,)</f>
        <v>3.7358333333333333</v>
      </c>
      <c r="F76" s="93">
        <f t="shared" ca="1" si="9"/>
        <v>37</v>
      </c>
      <c r="G76" s="118">
        <f>VLOOKUP(A76,template!$A$3:$P$53,8,)</f>
        <v>0.72</v>
      </c>
      <c r="H76" s="93">
        <f t="shared" si="10"/>
        <v>43</v>
      </c>
      <c r="I76" s="138">
        <f ca="1">VLOOKUP(A76,'States by Mo'!$A$3:$BF$53,57,)</f>
        <v>0.59333333333333338</v>
      </c>
      <c r="J76" s="119">
        <f t="shared" ca="1" si="11"/>
        <v>48</v>
      </c>
    </row>
    <row r="77" spans="1:10" ht="12.75" customHeight="1" x14ac:dyDescent="0.3">
      <c r="A77" s="142" t="s">
        <v>44</v>
      </c>
      <c r="B77" s="113">
        <f>VLOOKUP(A77,template!$A$3:$P$53,15,)</f>
        <v>45839</v>
      </c>
      <c r="C77" s="118">
        <f>VLOOKUP(A77,template!$A$3:$P$53,7,)</f>
        <v>3.64</v>
      </c>
      <c r="D77" s="93">
        <f t="shared" si="8"/>
        <v>35</v>
      </c>
      <c r="E77" s="118">
        <f ca="1">VLOOKUP(A77,'States by Mo'!$A$3:$AD$53,30,)</f>
        <v>3.4175</v>
      </c>
      <c r="F77" s="93">
        <f t="shared" ca="1" si="9"/>
        <v>32</v>
      </c>
      <c r="G77" s="118">
        <f>VLOOKUP(A77,template!$A$3:$P$53,8,)</f>
        <v>0.66</v>
      </c>
      <c r="H77" s="93">
        <f t="shared" si="10"/>
        <v>46</v>
      </c>
      <c r="I77" s="138">
        <f ca="1">VLOOKUP(A77,'States by Mo'!$A$3:$BF$53,57,)</f>
        <v>0.99416666666666664</v>
      </c>
      <c r="J77" s="119">
        <f t="shared" ca="1" si="11"/>
        <v>20</v>
      </c>
    </row>
    <row r="78" spans="1:10" ht="12.75" customHeight="1" x14ac:dyDescent="0.3">
      <c r="A78" s="142" t="s">
        <v>30</v>
      </c>
      <c r="B78" s="113">
        <f>VLOOKUP(A78,template!$A$3:$P$53,15,)</f>
        <v>46113</v>
      </c>
      <c r="C78" s="118">
        <f>VLOOKUP(A78,template!$A$3:$P$53,7,)</f>
        <v>3.56</v>
      </c>
      <c r="D78" s="93">
        <f t="shared" si="8"/>
        <v>34</v>
      </c>
      <c r="E78" s="118">
        <f ca="1">VLOOKUP(A78,'States by Mo'!$A$3:$AD$53,30,)</f>
        <v>3.64</v>
      </c>
      <c r="F78" s="93">
        <f t="shared" ca="1" si="9"/>
        <v>34</v>
      </c>
      <c r="G78" s="118">
        <f>VLOOKUP(A78,template!$A$3:$P$53,8,)</f>
        <v>0.98</v>
      </c>
      <c r="H78" s="93">
        <f t="shared" si="10"/>
        <v>18</v>
      </c>
      <c r="I78" s="138">
        <f ca="1">VLOOKUP(A78,'States by Mo'!$A$3:$BF$53,57,)</f>
        <v>1.1375</v>
      </c>
      <c r="J78" s="119">
        <f t="shared" ca="1" si="11"/>
        <v>13</v>
      </c>
    </row>
    <row r="79" spans="1:10" ht="12.75" customHeight="1" x14ac:dyDescent="0.3">
      <c r="A79" s="142" t="s">
        <v>36</v>
      </c>
      <c r="B79" s="113">
        <f>VLOOKUP(A79,template!$A$3:$P$53,15,)</f>
        <v>46113</v>
      </c>
      <c r="C79" s="118">
        <f>VLOOKUP(A79,template!$A$3:$P$53,7,)</f>
        <v>3.43</v>
      </c>
      <c r="D79" s="93">
        <f t="shared" si="8"/>
        <v>33</v>
      </c>
      <c r="E79" s="118">
        <f ca="1">VLOOKUP(A79,'States by Mo'!$A$3:$AD$53,30,)</f>
        <v>2.89</v>
      </c>
      <c r="F79" s="93">
        <f t="shared" ca="1" si="9"/>
        <v>23</v>
      </c>
      <c r="G79" s="118">
        <f>VLOOKUP(A79,template!$A$3:$P$53,8,)</f>
        <v>0.7</v>
      </c>
      <c r="H79" s="93">
        <f t="shared" si="10"/>
        <v>45</v>
      </c>
      <c r="I79" s="138">
        <f ca="1">VLOOKUP(A79,'States by Mo'!$A$3:$BF$53,57,)</f>
        <v>1.2024999999999999</v>
      </c>
      <c r="J79" s="119">
        <f t="shared" ca="1" si="11"/>
        <v>8</v>
      </c>
    </row>
    <row r="80" spans="1:10" ht="12.75" customHeight="1" x14ac:dyDescent="0.3">
      <c r="A80" s="142" t="s">
        <v>33</v>
      </c>
      <c r="B80" s="113">
        <f>VLOOKUP(A80,template!$A$3:$P$53,15,)</f>
        <v>46113</v>
      </c>
      <c r="C80" s="118">
        <f>VLOOKUP(A80,template!$A$3:$P$53,7,)</f>
        <v>3.33</v>
      </c>
      <c r="D80" s="93">
        <f t="shared" si="8"/>
        <v>32</v>
      </c>
      <c r="E80" s="118">
        <f ca="1">VLOOKUP(A80,'States by Mo'!$A$3:$AD$53,30,)</f>
        <v>3.43</v>
      </c>
      <c r="F80" s="93">
        <f t="shared" ca="1" si="9"/>
        <v>33</v>
      </c>
      <c r="G80" s="118">
        <f>VLOOKUP(A80,template!$A$3:$P$53,8,)</f>
        <v>0.99</v>
      </c>
      <c r="H80" s="93">
        <f t="shared" si="10"/>
        <v>16</v>
      </c>
      <c r="I80" s="138">
        <f ca="1">VLOOKUP(A80,'States by Mo'!$A$3:$BF$53,57,)</f>
        <v>1.0783333333333334</v>
      </c>
      <c r="J80" s="119">
        <f t="shared" ca="1" si="11"/>
        <v>15</v>
      </c>
    </row>
    <row r="81" spans="1:10" ht="12.75" customHeight="1" x14ac:dyDescent="0.3">
      <c r="A81" s="142" t="s">
        <v>37</v>
      </c>
      <c r="B81" s="113">
        <f>VLOOKUP(A81,template!$A$3:$P$53,15,)</f>
        <v>45839</v>
      </c>
      <c r="C81" s="118">
        <f>VLOOKUP(A81,template!$A$3:$P$53,7,)</f>
        <v>3.21</v>
      </c>
      <c r="D81" s="93">
        <f t="shared" si="8"/>
        <v>31</v>
      </c>
      <c r="E81" s="118">
        <f ca="1">VLOOKUP(A81,'States by Mo'!$A$3:$AD$53,30,)</f>
        <v>3.9875000000000003</v>
      </c>
      <c r="F81" s="93">
        <f t="shared" ca="1" si="9"/>
        <v>38</v>
      </c>
      <c r="G81" s="118">
        <f>VLOOKUP(A81,template!$A$3:$P$53,8,)</f>
        <v>1.63</v>
      </c>
      <c r="H81" s="93">
        <f t="shared" si="10"/>
        <v>2</v>
      </c>
      <c r="I81" s="138">
        <f ca="1">VLOOKUP(A81,'States by Mo'!$A$3:$BF$53,57,)</f>
        <v>1.0158333333333334</v>
      </c>
      <c r="J81" s="119">
        <f t="shared" ca="1" si="11"/>
        <v>18</v>
      </c>
    </row>
    <row r="82" spans="1:10" ht="12.75" customHeight="1" x14ac:dyDescent="0.3">
      <c r="A82" s="142" t="s">
        <v>51</v>
      </c>
      <c r="B82" s="113">
        <f>VLOOKUP(A82,template!$A$3:$P$53,15,)</f>
        <v>46023</v>
      </c>
      <c r="C82" s="118">
        <f>VLOOKUP(A82,template!$A$3:$P$53,7,)</f>
        <v>3.19</v>
      </c>
      <c r="D82" s="93">
        <f t="shared" si="8"/>
        <v>30</v>
      </c>
      <c r="E82" s="118">
        <f ca="1">VLOOKUP(A82,'States by Mo'!$A$3:$AD$53,30,)</f>
        <v>3.1824999999999997</v>
      </c>
      <c r="F82" s="93">
        <f t="shared" ca="1" si="9"/>
        <v>28</v>
      </c>
      <c r="G82" s="118">
        <f>VLOOKUP(A82,template!$A$3:$P$53,8,)</f>
        <v>0.8</v>
      </c>
      <c r="H82" s="93">
        <f t="shared" si="10"/>
        <v>37</v>
      </c>
      <c r="I82" s="138">
        <f ca="1">VLOOKUP(A82,'States by Mo'!$A$3:$BF$53,57,)</f>
        <v>0.83750000000000002</v>
      </c>
      <c r="J82" s="119">
        <f t="shared" ca="1" si="11"/>
        <v>38</v>
      </c>
    </row>
    <row r="83" spans="1:10" ht="12.75" customHeight="1" x14ac:dyDescent="0.3">
      <c r="A83" s="142" t="s">
        <v>55</v>
      </c>
      <c r="B83" s="113">
        <f>VLOOKUP(A83,template!$A$3:$P$53,15,)</f>
        <v>46023</v>
      </c>
      <c r="C83" s="118">
        <f>VLOOKUP(A83,template!$A$3:$P$53,7,)</f>
        <v>3.18</v>
      </c>
      <c r="D83" s="93">
        <f t="shared" si="8"/>
        <v>29</v>
      </c>
      <c r="E83" s="118">
        <f ca="1">VLOOKUP(A83,'States by Mo'!$A$3:$AD$53,30,)</f>
        <v>3.1199999999999997</v>
      </c>
      <c r="F83" s="93">
        <f t="shared" ca="1" si="9"/>
        <v>27</v>
      </c>
      <c r="G83" s="118">
        <f>VLOOKUP(A83,template!$A$3:$P$53,8,)</f>
        <v>0.61</v>
      </c>
      <c r="H83" s="93">
        <f t="shared" si="10"/>
        <v>50</v>
      </c>
      <c r="I83" s="138">
        <f ca="1">VLOOKUP(A83,'States by Mo'!$A$3:$BF$53,57,)</f>
        <v>0.62333333333333341</v>
      </c>
      <c r="J83" s="119">
        <f t="shared" ca="1" si="11"/>
        <v>47</v>
      </c>
    </row>
    <row r="84" spans="1:10" ht="12.75" customHeight="1" x14ac:dyDescent="0.3">
      <c r="A84" s="142" t="s">
        <v>46</v>
      </c>
      <c r="B84" s="113">
        <f>VLOOKUP(A84,template!$A$3:$P$53,15,)</f>
        <v>45839</v>
      </c>
      <c r="C84" s="118">
        <f>VLOOKUP(A84,template!$A$3:$P$53,7,)</f>
        <v>3.17</v>
      </c>
      <c r="D84" s="93">
        <f t="shared" si="8"/>
        <v>28</v>
      </c>
      <c r="E84" s="118">
        <f ca="1">VLOOKUP(A84,'States by Mo'!$A$3:$AD$53,30,)</f>
        <v>2.7266666666666666</v>
      </c>
      <c r="F84" s="93">
        <f t="shared" ca="1" si="9"/>
        <v>18</v>
      </c>
      <c r="G84" s="118">
        <f>VLOOKUP(A84,template!$A$3:$P$53,8,)</f>
        <v>1.1100000000000001</v>
      </c>
      <c r="H84" s="93">
        <f t="shared" si="10"/>
        <v>13</v>
      </c>
      <c r="I84" s="138">
        <f ca="1">VLOOKUP(A84,'States by Mo'!$A$3:$BF$53,57,)</f>
        <v>1.1408333333333331</v>
      </c>
      <c r="J84" s="119">
        <f t="shared" ca="1" si="11"/>
        <v>12</v>
      </c>
    </row>
    <row r="85" spans="1:10" ht="12.75" customHeight="1" x14ac:dyDescent="0.3">
      <c r="A85" s="142" t="s">
        <v>34</v>
      </c>
      <c r="B85" s="113">
        <f>VLOOKUP(A85,template!$A$3:$P$53,15,)</f>
        <v>45839</v>
      </c>
      <c r="C85" s="118">
        <f>VLOOKUP(A85,template!$A$3:$P$53,7,)</f>
        <v>3.14</v>
      </c>
      <c r="D85" s="93">
        <f t="shared" si="8"/>
        <v>27</v>
      </c>
      <c r="E85" s="118">
        <f ca="1">VLOOKUP(A85,'States by Mo'!$A$3:$AD$53,30,)</f>
        <v>3.7308333333333326</v>
      </c>
      <c r="F85" s="93">
        <f t="shared" ca="1" si="9"/>
        <v>36</v>
      </c>
      <c r="G85" s="118">
        <f>VLOOKUP(A85,template!$A$3:$P$53,8,)</f>
        <v>1.6</v>
      </c>
      <c r="H85" s="93">
        <f t="shared" si="10"/>
        <v>3</v>
      </c>
      <c r="I85" s="138">
        <f ca="1">VLOOKUP(A85,'States by Mo'!$A$3:$BF$53,57,)</f>
        <v>1.1808333333333332</v>
      </c>
      <c r="J85" s="119">
        <f t="shared" ca="1" si="11"/>
        <v>9</v>
      </c>
    </row>
    <row r="86" spans="1:10" ht="12.75" customHeight="1" x14ac:dyDescent="0.3">
      <c r="A86" s="142" t="s">
        <v>49</v>
      </c>
      <c r="B86" s="113">
        <f>VLOOKUP(A86,template!$A$3:$P$53,15,)</f>
        <v>45839</v>
      </c>
      <c r="C86" s="118">
        <f>VLOOKUP(A86,template!$A$3:$P$53,7,)</f>
        <v>3.12</v>
      </c>
      <c r="D86" s="93">
        <f t="shared" si="8"/>
        <v>25</v>
      </c>
      <c r="E86" s="118">
        <f ca="1">VLOOKUP(A86,'States by Mo'!$A$3:$AD$53,30,)</f>
        <v>2.7533333333333334</v>
      </c>
      <c r="F86" s="93">
        <f t="shared" ca="1" si="9"/>
        <v>20</v>
      </c>
      <c r="G86" s="118">
        <f>VLOOKUP(A86,template!$A$3:$P$53,8,)</f>
        <v>0.8</v>
      </c>
      <c r="H86" s="93">
        <f t="shared" si="10"/>
        <v>37</v>
      </c>
      <c r="I86" s="138">
        <f ca="1">VLOOKUP(A86,'States by Mo'!$A$3:$BF$53,57,)</f>
        <v>0.79083333333333339</v>
      </c>
      <c r="J86" s="119">
        <f t="shared" ca="1" si="11"/>
        <v>43</v>
      </c>
    </row>
    <row r="87" spans="1:10" ht="12.75" customHeight="1" x14ac:dyDescent="0.3">
      <c r="A87" s="142" t="s">
        <v>41</v>
      </c>
      <c r="B87" s="113">
        <f>VLOOKUP(A87,template!$A$3:$P$53,15,)</f>
        <v>46023</v>
      </c>
      <c r="C87" s="118">
        <f>VLOOKUP(A87,template!$A$3:$P$53,7,)</f>
        <v>3.12</v>
      </c>
      <c r="D87" s="93">
        <f t="shared" si="8"/>
        <v>25</v>
      </c>
      <c r="E87" s="118">
        <f ca="1">VLOOKUP(A87,'States by Mo'!$A$3:$AD$53,30,)</f>
        <v>3.1858333333333331</v>
      </c>
      <c r="F87" s="93">
        <f t="shared" ca="1" si="9"/>
        <v>29</v>
      </c>
      <c r="G87" s="118">
        <f>VLOOKUP(A87,template!$A$3:$P$53,8,)</f>
        <v>0.86</v>
      </c>
      <c r="H87" s="93">
        <f t="shared" si="10"/>
        <v>29</v>
      </c>
      <c r="I87" s="138">
        <f ca="1">VLOOKUP(A87,'States by Mo'!$A$3:$BF$53,57,)</f>
        <v>0.86083333333333323</v>
      </c>
      <c r="J87" s="119">
        <f t="shared" ca="1" si="11"/>
        <v>35</v>
      </c>
    </row>
    <row r="88" spans="1:10" ht="12.75" customHeight="1" x14ac:dyDescent="0.3">
      <c r="A88" s="142" t="s">
        <v>50</v>
      </c>
      <c r="B88" s="113">
        <f>VLOOKUP(A88,template!$A$3:$P$53,15,)</f>
        <v>45839</v>
      </c>
      <c r="C88" s="118">
        <f>VLOOKUP(A88,template!$A$3:$P$53,7,)</f>
        <v>3.11</v>
      </c>
      <c r="D88" s="93">
        <f t="shared" si="8"/>
        <v>24</v>
      </c>
      <c r="E88" s="118">
        <f ca="1">VLOOKUP(A88,'States by Mo'!$A$3:$AD$53,30,)</f>
        <v>3.0499999999999994</v>
      </c>
      <c r="F88" s="93">
        <f t="shared" ca="1" si="9"/>
        <v>26</v>
      </c>
      <c r="G88" s="118">
        <f>VLOOKUP(A88,template!$A$3:$P$53,8,)</f>
        <v>0.76</v>
      </c>
      <c r="H88" s="93">
        <f t="shared" si="10"/>
        <v>42</v>
      </c>
      <c r="I88" s="138">
        <f ca="1">VLOOKUP(A88,'States by Mo'!$A$3:$BF$53,57,)</f>
        <v>0.87583333333333335</v>
      </c>
      <c r="J88" s="119">
        <f t="shared" ca="1" si="11"/>
        <v>34</v>
      </c>
    </row>
    <row r="89" spans="1:10" ht="12.75" customHeight="1" x14ac:dyDescent="0.3">
      <c r="A89" s="142" t="s">
        <v>45</v>
      </c>
      <c r="B89" s="113">
        <f>VLOOKUP(A89,template!$A$3:$P$53,15,)</f>
        <v>46023</v>
      </c>
      <c r="C89" s="118">
        <f>VLOOKUP(A89,template!$A$3:$P$53,7,)</f>
        <v>3.06</v>
      </c>
      <c r="D89" s="93">
        <f t="shared" si="8"/>
        <v>23</v>
      </c>
      <c r="E89" s="118">
        <f ca="1">VLOOKUP(A89,'States by Mo'!$A$3:$AD$53,30,)</f>
        <v>3.2058333333333331</v>
      </c>
      <c r="F89" s="93">
        <f t="shared" ca="1" si="9"/>
        <v>30</v>
      </c>
      <c r="G89" s="118">
        <f>VLOOKUP(A89,template!$A$3:$P$53,8,)</f>
        <v>1</v>
      </c>
      <c r="H89" s="93">
        <f t="shared" si="10"/>
        <v>15</v>
      </c>
      <c r="I89" s="138">
        <f ca="1">VLOOKUP(A89,'States by Mo'!$A$3:$BF$53,57,)</f>
        <v>0.93500000000000005</v>
      </c>
      <c r="J89" s="119">
        <f t="shared" ca="1" si="11"/>
        <v>26</v>
      </c>
    </row>
    <row r="90" spans="1:10" ht="12.75" customHeight="1" x14ac:dyDescent="0.3">
      <c r="A90" s="142" t="s">
        <v>29</v>
      </c>
      <c r="B90" s="113">
        <f>VLOOKUP(A90,template!$A$3:$P$53,15,)</f>
        <v>45839</v>
      </c>
      <c r="C90" s="118">
        <f>VLOOKUP(A90,template!$A$3:$P$53,7,)</f>
        <v>2.99</v>
      </c>
      <c r="D90" s="93">
        <f t="shared" si="8"/>
        <v>22</v>
      </c>
      <c r="E90" s="118">
        <f ca="1">VLOOKUP(A90,'States by Mo'!$A$3:$AD$53,30,)</f>
        <v>2.9083333333333332</v>
      </c>
      <c r="F90" s="93">
        <f t="shared" ca="1" si="9"/>
        <v>25</v>
      </c>
      <c r="G90" s="118">
        <f>VLOOKUP(A90,template!$A$3:$P$53,8,)</f>
        <v>1.52</v>
      </c>
      <c r="H90" s="93">
        <f t="shared" si="10"/>
        <v>4</v>
      </c>
      <c r="I90" s="138">
        <f ca="1">VLOOKUP(A90,'States by Mo'!$A$3:$BF$53,57,)</f>
        <v>1.4883333333333335</v>
      </c>
      <c r="J90" s="119">
        <f t="shared" ca="1" si="11"/>
        <v>2</v>
      </c>
    </row>
    <row r="91" spans="1:10" ht="12.75" customHeight="1" x14ac:dyDescent="0.3">
      <c r="A91" s="142" t="s">
        <v>43</v>
      </c>
      <c r="B91" s="113">
        <f>VLOOKUP(A91,template!$A$3:$P$53,15,)</f>
        <v>46023</v>
      </c>
      <c r="C91" s="118">
        <f>VLOOKUP(A91,template!$A$3:$P$53,7,)</f>
        <v>2.97</v>
      </c>
      <c r="D91" s="93">
        <f t="shared" si="8"/>
        <v>21</v>
      </c>
      <c r="E91" s="118">
        <f ca="1">VLOOKUP(A91,'States by Mo'!$A$3:$AD$53,30,)</f>
        <v>2.7891666666666666</v>
      </c>
      <c r="F91" s="93">
        <f t="shared" ca="1" si="9"/>
        <v>21</v>
      </c>
      <c r="G91" s="118">
        <f>VLOOKUP(A91,template!$A$3:$P$53,8,)</f>
        <v>1.37</v>
      </c>
      <c r="H91" s="93">
        <f t="shared" si="10"/>
        <v>6</v>
      </c>
      <c r="I91" s="138">
        <f ca="1">VLOOKUP(A91,'States by Mo'!$A$3:$BF$53,57,)</f>
        <v>1.2266666666666668</v>
      </c>
      <c r="J91" s="119">
        <f t="shared" ca="1" si="11"/>
        <v>7</v>
      </c>
    </row>
    <row r="92" spans="1:10" ht="12.75" customHeight="1" x14ac:dyDescent="0.3">
      <c r="A92" s="142" t="s">
        <v>38</v>
      </c>
      <c r="B92" s="113">
        <f>VLOOKUP(A92,template!$A$3:$P$53,15,)</f>
        <v>45839</v>
      </c>
      <c r="C92" s="118">
        <f>VLOOKUP(A92,template!$A$3:$P$53,7,)</f>
        <v>2.85</v>
      </c>
      <c r="D92" s="93">
        <f t="shared" si="8"/>
        <v>20</v>
      </c>
      <c r="E92" s="118">
        <f ca="1">VLOOKUP(A92,'States by Mo'!$A$3:$AD$53,30,)</f>
        <v>2.7908333333333335</v>
      </c>
      <c r="F92" s="93">
        <f t="shared" ca="1" si="9"/>
        <v>22</v>
      </c>
      <c r="G92" s="118">
        <f>VLOOKUP(A92,template!$A$3:$P$53,8,)</f>
        <v>0.88</v>
      </c>
      <c r="H92" s="93">
        <f t="shared" si="10"/>
        <v>28</v>
      </c>
      <c r="I92" s="138">
        <f ca="1">VLOOKUP(A92,'States by Mo'!$A$3:$BF$53,57,)</f>
        <v>0.93833333333333346</v>
      </c>
      <c r="J92" s="119">
        <f t="shared" ca="1" si="11"/>
        <v>25</v>
      </c>
    </row>
    <row r="93" spans="1:10" ht="12.75" customHeight="1" x14ac:dyDescent="0.3">
      <c r="A93" s="142" t="s">
        <v>56</v>
      </c>
      <c r="B93" s="113">
        <f>VLOOKUP(A93,template!$A$3:$P$53,15,)</f>
        <v>45839</v>
      </c>
      <c r="C93" s="118">
        <f>VLOOKUP(A93,template!$A$3:$P$53,7,)</f>
        <v>2.8</v>
      </c>
      <c r="D93" s="93">
        <f t="shared" si="8"/>
        <v>19</v>
      </c>
      <c r="E93" s="118">
        <f ca="1">VLOOKUP(A93,'States by Mo'!$A$3:$AD$53,30,)</f>
        <v>2.9024999999999999</v>
      </c>
      <c r="F93" s="93">
        <f t="shared" ca="1" si="9"/>
        <v>24</v>
      </c>
      <c r="G93" s="118">
        <f>VLOOKUP(A93,template!$A$3:$P$53,8,)</f>
        <v>0.86</v>
      </c>
      <c r="H93" s="93">
        <f t="shared" si="10"/>
        <v>29</v>
      </c>
      <c r="I93" s="138">
        <f ca="1">VLOOKUP(A93,'States by Mo'!$A$3:$BF$53,57,)</f>
        <v>0.8175</v>
      </c>
      <c r="J93" s="119">
        <f t="shared" ca="1" si="11"/>
        <v>41</v>
      </c>
    </row>
    <row r="94" spans="1:10" ht="12.75" customHeight="1" x14ac:dyDescent="0.3">
      <c r="A94" s="142" t="s">
        <v>52</v>
      </c>
      <c r="B94" s="113">
        <f>VLOOKUP(A94,template!$A$3:$P$53,15,)</f>
        <v>45839</v>
      </c>
      <c r="C94" s="118">
        <f>VLOOKUP(A94,template!$A$3:$P$53,7,)</f>
        <v>2.67</v>
      </c>
      <c r="D94" s="93">
        <f t="shared" ref="D94:D111" si="12">RANK(C94,$C$62:$C$111,1)</f>
        <v>18</v>
      </c>
      <c r="E94" s="118">
        <f ca="1">VLOOKUP(A94,'States by Mo'!$A$3:$AD$53,30,)</f>
        <v>2.6966666666666668</v>
      </c>
      <c r="F94" s="93">
        <f t="shared" ref="F94:F111" ca="1" si="13">RANK(E94,$E$62:$E$111,1)</f>
        <v>17</v>
      </c>
      <c r="G94" s="118">
        <f>VLOOKUP(A94,template!$A$3:$P$53,8,)</f>
        <v>0.83</v>
      </c>
      <c r="H94" s="93">
        <f t="shared" ref="H94:H111" si="14">RANK(G94,$G$62:$G$111,)</f>
        <v>33</v>
      </c>
      <c r="I94" s="138">
        <f ca="1">VLOOKUP(A94,'States by Mo'!$A$3:$BF$53,57,)</f>
        <v>0.88333333333333341</v>
      </c>
      <c r="J94" s="119">
        <f t="shared" ref="J94:J111" ca="1" si="15">RANK(I94,$I$62:$I$111,)</f>
        <v>33</v>
      </c>
    </row>
    <row r="95" spans="1:10" ht="12.75" customHeight="1" x14ac:dyDescent="0.3">
      <c r="A95" s="142" t="s">
        <v>64</v>
      </c>
      <c r="B95" s="113">
        <f>VLOOKUP(A95,template!$A$3:$P$53,15,)</f>
        <v>46023</v>
      </c>
      <c r="C95" s="118">
        <f>VLOOKUP(A95,template!$A$3:$P$53,7,)</f>
        <v>2.62</v>
      </c>
      <c r="D95" s="93">
        <f t="shared" si="12"/>
        <v>17</v>
      </c>
      <c r="E95" s="118">
        <f ca="1">VLOOKUP(A95,'States by Mo'!$A$3:$AD$53,30,)</f>
        <v>2.7416666666666667</v>
      </c>
      <c r="F95" s="93">
        <f t="shared" ca="1" si="13"/>
        <v>19</v>
      </c>
      <c r="G95" s="118">
        <f>VLOOKUP(A95,template!$A$3:$P$53,8,)</f>
        <v>0.9</v>
      </c>
      <c r="H95" s="93">
        <f t="shared" si="14"/>
        <v>27</v>
      </c>
      <c r="I95" s="138">
        <f ca="1">VLOOKUP(A95,'States by Mo'!$A$3:$BF$53,57,)</f>
        <v>0.70750000000000002</v>
      </c>
      <c r="J95" s="119">
        <f t="shared" ca="1" si="15"/>
        <v>45</v>
      </c>
    </row>
    <row r="96" spans="1:10" ht="12.75" customHeight="1" x14ac:dyDescent="0.3">
      <c r="A96" s="142" t="s">
        <v>63</v>
      </c>
      <c r="B96" s="113">
        <f>VLOOKUP(A96,template!$A$3:$P$53,15,)</f>
        <v>45839</v>
      </c>
      <c r="C96" s="118">
        <f>VLOOKUP(A96,template!$A$3:$P$53,7,)</f>
        <v>2.56</v>
      </c>
      <c r="D96" s="93">
        <f t="shared" si="12"/>
        <v>16</v>
      </c>
      <c r="E96" s="118">
        <f ca="1">VLOOKUP(A96,'States by Mo'!$A$3:$AD$53,30,)</f>
        <v>2.5566666666666662</v>
      </c>
      <c r="F96" s="93">
        <f t="shared" ca="1" si="13"/>
        <v>15</v>
      </c>
      <c r="G96" s="118">
        <f>VLOOKUP(A96,template!$A$3:$P$53,8,)</f>
        <v>0.72</v>
      </c>
      <c r="H96" s="93">
        <f t="shared" si="14"/>
        <v>43</v>
      </c>
      <c r="I96" s="138">
        <f ca="1">VLOOKUP(A96,'States by Mo'!$A$3:$BF$53,57,)</f>
        <v>0.79500000000000004</v>
      </c>
      <c r="J96" s="119">
        <f t="shared" ca="1" si="15"/>
        <v>42</v>
      </c>
    </row>
    <row r="97" spans="1:10" ht="12.75" customHeight="1" x14ac:dyDescent="0.3">
      <c r="A97" s="142" t="s">
        <v>53</v>
      </c>
      <c r="B97" s="113">
        <f>VLOOKUP(A97,template!$A$3:$P$53,15,)</f>
        <v>45901</v>
      </c>
      <c r="C97" s="118">
        <f>VLOOKUP(A97,template!$A$3:$P$53,7,)</f>
        <v>2.52</v>
      </c>
      <c r="D97" s="93">
        <f t="shared" si="12"/>
        <v>15</v>
      </c>
      <c r="E97" s="118">
        <f ca="1">VLOOKUP(A97,'States by Mo'!$A$3:$AD$53,30,)</f>
        <v>2.5874999999999999</v>
      </c>
      <c r="F97" s="93">
        <f t="shared" ca="1" si="13"/>
        <v>16</v>
      </c>
      <c r="G97" s="118">
        <f>VLOOKUP(A97,template!$A$3:$P$53,8,)</f>
        <v>0.91</v>
      </c>
      <c r="H97" s="93">
        <f t="shared" si="14"/>
        <v>25</v>
      </c>
      <c r="I97" s="138">
        <f ca="1">VLOOKUP(A97,'States by Mo'!$A$3:$BF$53,57,)</f>
        <v>1.0083333333333335</v>
      </c>
      <c r="J97" s="119">
        <f t="shared" ca="1" si="15"/>
        <v>19</v>
      </c>
    </row>
    <row r="98" spans="1:10" ht="12.75" customHeight="1" x14ac:dyDescent="0.3">
      <c r="A98" s="142" t="s">
        <v>61</v>
      </c>
      <c r="B98" s="113">
        <f>VLOOKUP(A98,template!$A$3:$P$53,15,)</f>
        <v>46113</v>
      </c>
      <c r="C98" s="118">
        <f>VLOOKUP(A98,template!$A$3:$P$53,7,)</f>
        <v>2.4500000000000002</v>
      </c>
      <c r="D98" s="93">
        <f t="shared" si="12"/>
        <v>14</v>
      </c>
      <c r="E98" s="118">
        <f ca="1">VLOOKUP(A98,'States by Mo'!$A$3:$AD$53,30,)</f>
        <v>2.270833333333333</v>
      </c>
      <c r="F98" s="93">
        <f t="shared" ca="1" si="13"/>
        <v>13</v>
      </c>
      <c r="G98" s="118">
        <f>VLOOKUP(A98,template!$A$3:$P$53,8,)</f>
        <v>0.85</v>
      </c>
      <c r="H98" s="93">
        <f t="shared" si="14"/>
        <v>32</v>
      </c>
      <c r="I98" s="138">
        <f ca="1">VLOOKUP(A98,'States by Mo'!$A$3:$BF$53,57,)</f>
        <v>0.94916666666666671</v>
      </c>
      <c r="J98" s="119">
        <f t="shared" ca="1" si="15"/>
        <v>24</v>
      </c>
    </row>
    <row r="99" spans="1:10" ht="12.75" customHeight="1" x14ac:dyDescent="0.3">
      <c r="A99" s="142" t="s">
        <v>58</v>
      </c>
      <c r="B99" s="113">
        <f>VLOOKUP(A99,template!$A$3:$P$53,15,)</f>
        <v>46113</v>
      </c>
      <c r="C99" s="118">
        <f>VLOOKUP(A99,template!$A$3:$P$53,7,)</f>
        <v>2.41</v>
      </c>
      <c r="D99" s="93">
        <f t="shared" si="12"/>
        <v>13</v>
      </c>
      <c r="E99" s="118">
        <f ca="1">VLOOKUP(A99,'States by Mo'!$A$3:$AD$53,30,)</f>
        <v>2.2108333333333334</v>
      </c>
      <c r="F99" s="93">
        <f t="shared" ca="1" si="13"/>
        <v>10</v>
      </c>
      <c r="G99" s="118">
        <f>VLOOKUP(A99,template!$A$3:$P$53,8,)</f>
        <v>0.81</v>
      </c>
      <c r="H99" s="93">
        <f t="shared" si="14"/>
        <v>36</v>
      </c>
      <c r="I99" s="138">
        <f ca="1">VLOOKUP(A99,'States by Mo'!$A$3:$BF$53,57,)</f>
        <v>0.97250000000000003</v>
      </c>
      <c r="J99" s="119">
        <f t="shared" ca="1" si="15"/>
        <v>21</v>
      </c>
    </row>
    <row r="100" spans="1:10" ht="12.75" customHeight="1" x14ac:dyDescent="0.3">
      <c r="A100" s="142" t="s">
        <v>60</v>
      </c>
      <c r="B100" s="113">
        <f>VLOOKUP(A100,template!$A$3:$P$53,15,)</f>
        <v>46113</v>
      </c>
      <c r="C100" s="118">
        <f>VLOOKUP(A100,template!$A$3:$P$53,7,)</f>
        <v>2.36</v>
      </c>
      <c r="D100" s="93">
        <f t="shared" si="12"/>
        <v>12</v>
      </c>
      <c r="E100" s="118">
        <f ca="1">VLOOKUP(A100,'States by Mo'!$A$3:$AD$53,30,)</f>
        <v>2.4541666666666666</v>
      </c>
      <c r="F100" s="93">
        <f t="shared" ca="1" si="13"/>
        <v>14</v>
      </c>
      <c r="G100" s="118">
        <f>VLOOKUP(A100,template!$A$3:$P$53,8,)</f>
        <v>0.8</v>
      </c>
      <c r="H100" s="93">
        <f t="shared" si="14"/>
        <v>37</v>
      </c>
      <c r="I100" s="138">
        <f ca="1">VLOOKUP(A100,'States by Mo'!$A$3:$BF$53,57,)</f>
        <v>0.85</v>
      </c>
      <c r="J100" s="119">
        <f t="shared" ca="1" si="15"/>
        <v>37</v>
      </c>
    </row>
    <row r="101" spans="1:10" ht="12.75" customHeight="1" x14ac:dyDescent="0.3">
      <c r="A101" s="142" t="s">
        <v>59</v>
      </c>
      <c r="B101" s="113">
        <f>VLOOKUP(A101,template!$A$3:$P$53,15,)</f>
        <v>45839</v>
      </c>
      <c r="C101" s="118">
        <f>VLOOKUP(A101,template!$A$3:$P$53,7,)</f>
        <v>2.25</v>
      </c>
      <c r="D101" s="93">
        <f t="shared" si="12"/>
        <v>11</v>
      </c>
      <c r="E101" s="118">
        <f ca="1">VLOOKUP(A101,'States by Mo'!$A$3:$AD$53,30,)</f>
        <v>2.2316666666666669</v>
      </c>
      <c r="F101" s="93">
        <f t="shared" ca="1" si="13"/>
        <v>11</v>
      </c>
      <c r="G101" s="118">
        <f>VLOOKUP(A101,template!$A$3:$P$53,8,)</f>
        <v>0.79</v>
      </c>
      <c r="H101" s="93">
        <f t="shared" si="14"/>
        <v>40</v>
      </c>
      <c r="I101" s="138">
        <f ca="1">VLOOKUP(A101,'States by Mo'!$A$3:$BF$53,57,)</f>
        <v>1.1766666666666667</v>
      </c>
      <c r="J101" s="119">
        <f t="shared" ca="1" si="15"/>
        <v>10</v>
      </c>
    </row>
    <row r="102" spans="1:10" ht="12.75" customHeight="1" x14ac:dyDescent="0.3">
      <c r="A102" s="142" t="s">
        <v>62</v>
      </c>
      <c r="B102" s="113">
        <f>VLOOKUP(A102,template!$A$3:$P$53,15,)</f>
        <v>46113</v>
      </c>
      <c r="C102" s="118">
        <f>VLOOKUP(A102,template!$A$3:$P$53,7,)</f>
        <v>2.11</v>
      </c>
      <c r="D102" s="93">
        <f t="shared" si="12"/>
        <v>10</v>
      </c>
      <c r="E102" s="118">
        <f ca="1">VLOOKUP(A102,'States by Mo'!$A$3:$AD$53,30,)</f>
        <v>2.1366666666666663</v>
      </c>
      <c r="F102" s="93">
        <f t="shared" ca="1" si="13"/>
        <v>8</v>
      </c>
      <c r="G102" s="118">
        <f>VLOOKUP(A102,template!$A$3:$P$53,8,)</f>
        <v>0.86</v>
      </c>
      <c r="H102" s="93">
        <f t="shared" si="14"/>
        <v>29</v>
      </c>
      <c r="I102" s="138">
        <f ca="1">VLOOKUP(A102,'States by Mo'!$A$3:$BF$53,57,)</f>
        <v>1.0475000000000001</v>
      </c>
      <c r="J102" s="119">
        <f t="shared" ca="1" si="15"/>
        <v>17</v>
      </c>
    </row>
    <row r="103" spans="1:10" ht="12.75" customHeight="1" x14ac:dyDescent="0.3">
      <c r="A103" s="142" t="s">
        <v>48</v>
      </c>
      <c r="B103" s="113">
        <f>VLOOKUP(A103,template!$A$3:$P$53,15,)</f>
        <v>46023</v>
      </c>
      <c r="C103" s="118">
        <f>VLOOKUP(A103,template!$A$3:$P$53,7,)</f>
        <v>2.09</v>
      </c>
      <c r="D103" s="93">
        <f t="shared" si="12"/>
        <v>9</v>
      </c>
      <c r="E103" s="118">
        <f ca="1">VLOOKUP(A103,'States by Mo'!$A$3:$AD$53,30,)</f>
        <v>1.9541666666666668</v>
      </c>
      <c r="F103" s="93">
        <f t="shared" ca="1" si="13"/>
        <v>5</v>
      </c>
      <c r="G103" s="118">
        <f>VLOOKUP(A103,template!$A$3:$P$53,8,)</f>
        <v>1.35</v>
      </c>
      <c r="H103" s="93">
        <f t="shared" si="14"/>
        <v>7</v>
      </c>
      <c r="I103" s="138">
        <f ca="1">VLOOKUP(A103,'States by Mo'!$A$3:$BF$53,57,)</f>
        <v>1.3366666666666667</v>
      </c>
      <c r="J103" s="119">
        <f t="shared" ca="1" si="15"/>
        <v>5</v>
      </c>
    </row>
    <row r="104" spans="1:10" ht="12.75" customHeight="1" x14ac:dyDescent="0.3">
      <c r="A104" s="142" t="s">
        <v>54</v>
      </c>
      <c r="B104" s="113">
        <f>VLOOKUP(A104,template!$A$3:$P$53,15,)</f>
        <v>46113</v>
      </c>
      <c r="C104" s="118">
        <f>VLOOKUP(A104,template!$A$3:$P$53,7,)</f>
        <v>2.04</v>
      </c>
      <c r="D104" s="93">
        <f t="shared" si="12"/>
        <v>8</v>
      </c>
      <c r="E104" s="118">
        <f ca="1">VLOOKUP(A104,'States by Mo'!$A$3:$AD$53,30,)</f>
        <v>2.2341666666666664</v>
      </c>
      <c r="F104" s="93">
        <f t="shared" ca="1" si="13"/>
        <v>12</v>
      </c>
      <c r="G104" s="118">
        <f>VLOOKUP(A104,template!$A$3:$P$53,8,)</f>
        <v>1.35</v>
      </c>
      <c r="H104" s="93">
        <f t="shared" si="14"/>
        <v>7</v>
      </c>
      <c r="I104" s="138">
        <f ca="1">VLOOKUP(A104,'States by Mo'!$A$3:$BF$53,57,)</f>
        <v>1.3316666666666668</v>
      </c>
      <c r="J104" s="119">
        <f t="shared" ca="1" si="15"/>
        <v>6</v>
      </c>
    </row>
    <row r="105" spans="1:10" ht="12.75" customHeight="1" x14ac:dyDescent="0.3">
      <c r="A105" s="142" t="s">
        <v>66</v>
      </c>
      <c r="B105" s="113">
        <f>VLOOKUP(A105,template!$A$3:$P$53,15,)</f>
        <v>45839</v>
      </c>
      <c r="C105" s="118">
        <f>VLOOKUP(A105,template!$A$3:$P$53,7,)</f>
        <v>2</v>
      </c>
      <c r="D105" s="93">
        <f t="shared" si="12"/>
        <v>7</v>
      </c>
      <c r="E105" s="118">
        <f ca="1">VLOOKUP(A105,'States by Mo'!$A$3:$AD$53,30,)</f>
        <v>2.0874999999999999</v>
      </c>
      <c r="F105" s="93">
        <f t="shared" ca="1" si="13"/>
        <v>7</v>
      </c>
      <c r="G105" s="118">
        <f>VLOOKUP(A105,template!$A$3:$P$53,8,)</f>
        <v>0.94</v>
      </c>
      <c r="H105" s="93">
        <f t="shared" si="14"/>
        <v>21</v>
      </c>
      <c r="I105" s="138">
        <f ca="1">VLOOKUP(A105,'States by Mo'!$A$3:$BF$53,57,)</f>
        <v>0.92916666666666659</v>
      </c>
      <c r="J105" s="119">
        <f t="shared" ca="1" si="15"/>
        <v>28</v>
      </c>
    </row>
    <row r="106" spans="1:10" ht="12.75" customHeight="1" x14ac:dyDescent="0.3">
      <c r="A106" s="142" t="s">
        <v>67</v>
      </c>
      <c r="B106" s="113">
        <f>VLOOKUP(A106,template!$A$3:$P$53,15,)</f>
        <v>46113</v>
      </c>
      <c r="C106" s="118">
        <f>VLOOKUP(A106,template!$A$3:$P$53,7,)</f>
        <v>1.97</v>
      </c>
      <c r="D106" s="93">
        <f t="shared" si="12"/>
        <v>6</v>
      </c>
      <c r="E106" s="118">
        <f ca="1">VLOOKUP(A106,'States by Mo'!$A$3:$AD$53,30,)</f>
        <v>2.0791666666666671</v>
      </c>
      <c r="F106" s="93">
        <f t="shared" ca="1" si="13"/>
        <v>6</v>
      </c>
      <c r="G106" s="118">
        <f>VLOOKUP(A106,template!$A$3:$P$53,8,)</f>
        <v>0.83</v>
      </c>
      <c r="H106" s="93">
        <f t="shared" si="14"/>
        <v>33</v>
      </c>
      <c r="I106" s="138">
        <f ca="1">VLOOKUP(A106,'States by Mo'!$A$3:$BF$53,57,)</f>
        <v>0.85166666666666668</v>
      </c>
      <c r="J106" s="119">
        <f t="shared" ca="1" si="15"/>
        <v>36</v>
      </c>
    </row>
    <row r="107" spans="1:10" ht="12.75" customHeight="1" x14ac:dyDescent="0.3">
      <c r="A107" s="142" t="s">
        <v>57</v>
      </c>
      <c r="B107" s="113">
        <f>VLOOKUP(A107,template!$A$3:$P$53,15,)</f>
        <v>45839</v>
      </c>
      <c r="C107" s="118">
        <f>VLOOKUP(A107,template!$A$3:$P$53,7,)</f>
        <v>1.89</v>
      </c>
      <c r="D107" s="93">
        <f t="shared" si="12"/>
        <v>5</v>
      </c>
      <c r="E107" s="118">
        <f ca="1">VLOOKUP(A107,'States by Mo'!$A$3:$AD$53,30,)</f>
        <v>2.2050000000000001</v>
      </c>
      <c r="F107" s="93">
        <f t="shared" ca="1" si="13"/>
        <v>9</v>
      </c>
      <c r="G107" s="118">
        <f>VLOOKUP(A107,template!$A$3:$P$53,8,)</f>
        <v>1.2</v>
      </c>
      <c r="H107" s="93">
        <f t="shared" si="14"/>
        <v>11</v>
      </c>
      <c r="I107" s="138">
        <f ca="1">VLOOKUP(A107,'States by Mo'!$A$3:$BF$53,57,)</f>
        <v>1.1058333333333332</v>
      </c>
      <c r="J107" s="119">
        <f t="shared" ca="1" si="15"/>
        <v>14</v>
      </c>
    </row>
    <row r="108" spans="1:10" ht="12.75" customHeight="1" x14ac:dyDescent="0.3">
      <c r="A108" s="142" t="s">
        <v>68</v>
      </c>
      <c r="B108" s="113">
        <f>VLOOKUP(A108,template!$A$3:$P$53,15,)</f>
        <v>46023</v>
      </c>
      <c r="C108" s="118">
        <f>VLOOKUP(A108,template!$A$3:$P$53,7,)</f>
        <v>1.83</v>
      </c>
      <c r="D108" s="93">
        <f t="shared" si="12"/>
        <v>4</v>
      </c>
      <c r="E108" s="118">
        <f ca="1">VLOOKUP(A108,'States by Mo'!$A$3:$AD$53,30,)</f>
        <v>1.9349999999999998</v>
      </c>
      <c r="F108" s="93">
        <f t="shared" ca="1" si="13"/>
        <v>4</v>
      </c>
      <c r="G108" s="118">
        <f>VLOOKUP(A108,template!$A$3:$P$53,8,)</f>
        <v>0.98</v>
      </c>
      <c r="H108" s="93">
        <f t="shared" si="14"/>
        <v>18</v>
      </c>
      <c r="I108" s="138">
        <f ca="1">VLOOKUP(A108,'States by Mo'!$A$3:$BF$53,57,)</f>
        <v>0.95000000000000007</v>
      </c>
      <c r="J108" s="119">
        <f t="shared" ca="1" si="15"/>
        <v>23</v>
      </c>
    </row>
    <row r="109" spans="1:10" ht="12.75" customHeight="1" x14ac:dyDescent="0.3">
      <c r="A109" s="142" t="s">
        <v>65</v>
      </c>
      <c r="B109" s="113">
        <f>VLOOKUP(A109,template!$A$3:$P$53,15,)</f>
        <v>45839</v>
      </c>
      <c r="C109" s="118">
        <f>VLOOKUP(A109,template!$A$3:$P$53,7,)</f>
        <v>1.72</v>
      </c>
      <c r="D109" s="93">
        <f t="shared" si="12"/>
        <v>3</v>
      </c>
      <c r="E109" s="118">
        <f ca="1">VLOOKUP(A109,'States by Mo'!$A$3:$AD$53,30,)</f>
        <v>1.8749999999999998</v>
      </c>
      <c r="F109" s="93">
        <f t="shared" ca="1" si="13"/>
        <v>3</v>
      </c>
      <c r="G109" s="118">
        <f>VLOOKUP(A109,template!$A$3:$P$53,8,)</f>
        <v>1.1299999999999999</v>
      </c>
      <c r="H109" s="93">
        <f t="shared" si="14"/>
        <v>12</v>
      </c>
      <c r="I109" s="138">
        <f ca="1">VLOOKUP(A109,'States by Mo'!$A$3:$BF$53,57,)</f>
        <v>1.1566666666666665</v>
      </c>
      <c r="J109" s="119">
        <f t="shared" ca="1" si="15"/>
        <v>11</v>
      </c>
    </row>
    <row r="110" spans="1:10" ht="12.75" customHeight="1" x14ac:dyDescent="0.3">
      <c r="A110" s="142" t="s">
        <v>69</v>
      </c>
      <c r="B110" s="113">
        <f>VLOOKUP(A110,template!$A$3:$P$53,15,)</f>
        <v>45839</v>
      </c>
      <c r="C110" s="118">
        <f>VLOOKUP(A110,template!$A$3:$P$53,7,)</f>
        <v>1.62</v>
      </c>
      <c r="D110" s="93">
        <f t="shared" si="12"/>
        <v>2</v>
      </c>
      <c r="E110" s="118">
        <f ca="1">VLOOKUP(A110,'States by Mo'!$A$3:$AD$53,30,)</f>
        <v>1.3108333333333333</v>
      </c>
      <c r="F110" s="93">
        <f t="shared" ca="1" si="13"/>
        <v>2</v>
      </c>
      <c r="G110" s="118">
        <f>VLOOKUP(A110,template!$A$3:$P$53,8,)</f>
        <v>0.93</v>
      </c>
      <c r="H110" s="93">
        <f t="shared" si="14"/>
        <v>23</v>
      </c>
      <c r="I110" s="138">
        <f ca="1">VLOOKUP(A110,'States by Mo'!$A$3:$BF$53,57,)</f>
        <v>1.0683333333333336</v>
      </c>
      <c r="J110" s="119">
        <f t="shared" ca="1" si="15"/>
        <v>16</v>
      </c>
    </row>
    <row r="111" spans="1:10" ht="12.75" customHeight="1" x14ac:dyDescent="0.3">
      <c r="A111" s="143" t="s">
        <v>70</v>
      </c>
      <c r="B111" s="144">
        <f>VLOOKUP(A111,template!$A$3:$P$53,15,)</f>
        <v>45839</v>
      </c>
      <c r="C111" s="145">
        <f>VLOOKUP(A111,template!$A$3:$P$53,7,)</f>
        <v>1.33</v>
      </c>
      <c r="D111" s="146">
        <f t="shared" si="12"/>
        <v>1</v>
      </c>
      <c r="E111" s="145">
        <f ca="1">VLOOKUP(A111,'States by Mo'!$A$3:$AD$53,30,)</f>
        <v>0.96749999999999992</v>
      </c>
      <c r="F111" s="146">
        <f t="shared" ca="1" si="13"/>
        <v>1</v>
      </c>
      <c r="G111" s="145">
        <f>VLOOKUP(A111,template!$A$3:$P$53,8,)</f>
        <v>0.96</v>
      </c>
      <c r="H111" s="146">
        <f t="shared" si="14"/>
        <v>20</v>
      </c>
      <c r="I111" s="147">
        <f ca="1">VLOOKUP(A111,'States by Mo'!$A$3:$BF$53,57,)</f>
        <v>0.90916666666666701</v>
      </c>
      <c r="J111" s="148">
        <f t="shared" ca="1" si="15"/>
        <v>29</v>
      </c>
    </row>
    <row r="112" spans="1:10" x14ac:dyDescent="0.3">
      <c r="A112" s="117"/>
      <c r="B112" s="135"/>
      <c r="G112" s="112"/>
      <c r="I112" s="116"/>
    </row>
  </sheetData>
  <mergeCells count="1">
    <mergeCell ref="D1:H1"/>
  </mergeCells>
  <phoneticPr fontId="0" type="noConversion"/>
  <conditionalFormatting sqref="G3:G53 I3:I53 G62:G112 I62:I112">
    <cfRule type="cellIs" dxfId="79" priority="51" stopIfTrue="1" operator="between">
      <formula>0.001</formula>
      <formula>0.9999</formula>
    </cfRule>
    <cfRule type="cellIs" dxfId="78" priority="52" stopIfTrue="1" operator="greaterThanOrEqual">
      <formula>1</formula>
    </cfRule>
  </conditionalFormatting>
  <conditionalFormatting sqref="C3:C53 E3:E53 C62:C112 E62:E112">
    <cfRule type="cellIs" dxfId="77" priority="53" stopIfTrue="1" operator="between">
      <formula>2</formula>
      <formula>2.5</formula>
    </cfRule>
    <cfRule type="cellIs" dxfId="76" priority="54" stopIfTrue="1" operator="greaterThan">
      <formula>2.5</formula>
    </cfRule>
  </conditionalFormatting>
  <conditionalFormatting sqref="A3:J3">
    <cfRule type="expression" dxfId="75" priority="50">
      <formula>NOT(B3=B2)</formula>
    </cfRule>
  </conditionalFormatting>
  <conditionalFormatting sqref="A4:J4">
    <cfRule type="expression" dxfId="74" priority="49">
      <formula>NOT($B4=$B3)</formula>
    </cfRule>
  </conditionalFormatting>
  <conditionalFormatting sqref="A5:J5">
    <cfRule type="expression" dxfId="73" priority="48">
      <formula>NOT($B$5=$B$4)</formula>
    </cfRule>
  </conditionalFormatting>
  <conditionalFormatting sqref="A17:J17">
    <cfRule type="expression" dxfId="72" priority="47">
      <formula>NOT($B$17=$B$16)</formula>
    </cfRule>
  </conditionalFormatting>
  <conditionalFormatting sqref="A6:J6">
    <cfRule type="expression" dxfId="71" priority="46">
      <formula>NOT($B$6=$B$5)</formula>
    </cfRule>
  </conditionalFormatting>
  <conditionalFormatting sqref="A7:J7">
    <cfRule type="expression" dxfId="70" priority="45">
      <formula>NOT($B$7=$B$6)</formula>
    </cfRule>
  </conditionalFormatting>
  <conditionalFormatting sqref="A8:J8">
    <cfRule type="expression" dxfId="69" priority="44">
      <formula>NOT($B$8=$B$7)</formula>
    </cfRule>
  </conditionalFormatting>
  <conditionalFormatting sqref="A9:J9">
    <cfRule type="expression" dxfId="68" priority="43">
      <formula>NOT($B$9=$B$8)</formula>
    </cfRule>
  </conditionalFormatting>
  <conditionalFormatting sqref="A10:J10">
    <cfRule type="expression" dxfId="67" priority="42">
      <formula>NOT($B$10=$B$9)</formula>
    </cfRule>
  </conditionalFormatting>
  <conditionalFormatting sqref="A11:J11">
    <cfRule type="expression" dxfId="66" priority="41">
      <formula>NOT($B$11=$B$10)</formula>
    </cfRule>
  </conditionalFormatting>
  <conditionalFormatting sqref="A12:J12">
    <cfRule type="expression" dxfId="65" priority="40">
      <formula>NOT($B$12=$B$11)</formula>
    </cfRule>
  </conditionalFormatting>
  <conditionalFormatting sqref="A13:J13">
    <cfRule type="expression" dxfId="64" priority="39">
      <formula>NOT($B$13=$B$12)</formula>
    </cfRule>
  </conditionalFormatting>
  <conditionalFormatting sqref="A14:J14">
    <cfRule type="expression" dxfId="63" priority="38">
      <formula>NOT($B$14=$B$13)</formula>
    </cfRule>
  </conditionalFormatting>
  <conditionalFormatting sqref="A15:J15">
    <cfRule type="expression" dxfId="62" priority="37">
      <formula>NOT($B$15=$B$14)</formula>
    </cfRule>
  </conditionalFormatting>
  <conditionalFormatting sqref="A16:J16">
    <cfRule type="expression" dxfId="61" priority="36">
      <formula>NOT($B$16=$B$15)</formula>
    </cfRule>
  </conditionalFormatting>
  <conditionalFormatting sqref="A18:J18">
    <cfRule type="expression" dxfId="60" priority="35">
      <formula>NOT($B$18=$B$17)</formula>
    </cfRule>
  </conditionalFormatting>
  <conditionalFormatting sqref="A19:J19">
    <cfRule type="expression" dxfId="59" priority="34">
      <formula>NOT($B$19=$B$18)</formula>
    </cfRule>
  </conditionalFormatting>
  <conditionalFormatting sqref="A20:J20">
    <cfRule type="expression" dxfId="58" priority="33">
      <formula>NOT($B$20=$B$19)</formula>
    </cfRule>
  </conditionalFormatting>
  <conditionalFormatting sqref="A21:J21">
    <cfRule type="expression" dxfId="57" priority="32">
      <formula>NOT($B$21=$B$20)</formula>
    </cfRule>
  </conditionalFormatting>
  <conditionalFormatting sqref="A22:J22">
    <cfRule type="expression" dxfId="56" priority="31">
      <formula>NOT($B$22=$B$21)</formula>
    </cfRule>
  </conditionalFormatting>
  <conditionalFormatting sqref="A23:J23">
    <cfRule type="expression" dxfId="55" priority="30">
      <formula>NOT($B$23=$B$22)</formula>
    </cfRule>
  </conditionalFormatting>
  <conditionalFormatting sqref="A24:J24">
    <cfRule type="expression" dxfId="54" priority="29">
      <formula>NOT($B$24=$B$23)</formula>
    </cfRule>
  </conditionalFormatting>
  <conditionalFormatting sqref="A25:J25">
    <cfRule type="expression" dxfId="53" priority="28">
      <formula>NOT($B$25=$B$24)</formula>
    </cfRule>
  </conditionalFormatting>
  <conditionalFormatting sqref="A26:J26">
    <cfRule type="expression" dxfId="52" priority="27">
      <formula>NOT($B$26=$B$25)</formula>
    </cfRule>
  </conditionalFormatting>
  <conditionalFormatting sqref="A27:J27">
    <cfRule type="expression" dxfId="51" priority="26">
      <formula>NOT($B$28=$B$27)</formula>
    </cfRule>
  </conditionalFormatting>
  <conditionalFormatting sqref="A28:J28">
    <cfRule type="expression" dxfId="50" priority="25">
      <formula>NOT($B$28=$B$27)</formula>
    </cfRule>
  </conditionalFormatting>
  <conditionalFormatting sqref="A29:J29">
    <cfRule type="expression" dxfId="49" priority="24">
      <formula>NOT($B$29=$B$28)</formula>
    </cfRule>
  </conditionalFormatting>
  <conditionalFormatting sqref="A30:J30">
    <cfRule type="expression" dxfId="48" priority="23">
      <formula>NOT($B$30=$B$29)</formula>
    </cfRule>
  </conditionalFormatting>
  <conditionalFormatting sqref="A31:J31">
    <cfRule type="expression" dxfId="47" priority="22">
      <formula>NOT($B$31=$B$30)</formula>
    </cfRule>
  </conditionalFormatting>
  <conditionalFormatting sqref="A32:J32">
    <cfRule type="expression" dxfId="46" priority="21">
      <formula>NOT($B$32=$B$31)</formula>
    </cfRule>
  </conditionalFormatting>
  <conditionalFormatting sqref="A33:J33">
    <cfRule type="expression" dxfId="45" priority="20">
      <formula>NOT($B$31=$B$32)</formula>
    </cfRule>
  </conditionalFormatting>
  <conditionalFormatting sqref="A34:J34">
    <cfRule type="expression" dxfId="44" priority="19">
      <formula>NOT($B$34=$B$33)</formula>
    </cfRule>
  </conditionalFormatting>
  <conditionalFormatting sqref="A35:J35">
    <cfRule type="expression" dxfId="43" priority="18">
      <formula>NOT($B$35=$B$34)</formula>
    </cfRule>
  </conditionalFormatting>
  <conditionalFormatting sqref="A36:J36">
    <cfRule type="expression" dxfId="42" priority="17">
      <formula>NOT($B$36=$B$35)</formula>
    </cfRule>
  </conditionalFormatting>
  <conditionalFormatting sqref="A37:J37">
    <cfRule type="expression" dxfId="41" priority="16">
      <formula>NOT($B$37=$B$36)</formula>
    </cfRule>
  </conditionalFormatting>
  <conditionalFormatting sqref="A38:J38">
    <cfRule type="expression" dxfId="40" priority="15">
      <formula>NOT($B$38=$B$37)</formula>
    </cfRule>
  </conditionalFormatting>
  <conditionalFormatting sqref="A39:J39">
    <cfRule type="expression" dxfId="39" priority="14">
      <formula>NOT($B$39=$B$38)</formula>
    </cfRule>
  </conditionalFormatting>
  <conditionalFormatting sqref="A40:J40">
    <cfRule type="expression" dxfId="38" priority="13">
      <formula>NOT($B$40=$B$39)</formula>
    </cfRule>
  </conditionalFormatting>
  <conditionalFormatting sqref="A41:J41">
    <cfRule type="expression" dxfId="37" priority="12">
      <formula>NOT($B$41=$B$40)</formula>
    </cfRule>
  </conditionalFormatting>
  <conditionalFormatting sqref="A42:J42">
    <cfRule type="expression" dxfId="36" priority="11">
      <formula>NOT($B$42=$B$41)</formula>
    </cfRule>
  </conditionalFormatting>
  <conditionalFormatting sqref="A43:J43">
    <cfRule type="expression" dxfId="35" priority="10">
      <formula>NOT($B$43=$B$42)</formula>
    </cfRule>
  </conditionalFormatting>
  <conditionalFormatting sqref="A44:J44">
    <cfRule type="expression" dxfId="34" priority="9">
      <formula>NOT($B$44=$B$43)</formula>
    </cfRule>
  </conditionalFormatting>
  <conditionalFormatting sqref="A45:J45">
    <cfRule type="expression" dxfId="33" priority="8">
      <formula>NOT($B$45=$B$44)</formula>
    </cfRule>
  </conditionalFormatting>
  <conditionalFormatting sqref="A46:J46">
    <cfRule type="expression" dxfId="32" priority="7">
      <formula>NOT($B$46=$B$45)</formula>
    </cfRule>
  </conditionalFormatting>
  <conditionalFormatting sqref="A47:J47">
    <cfRule type="expression" dxfId="31" priority="6">
      <formula>NOT($B$47=$B$46)</formula>
    </cfRule>
  </conditionalFormatting>
  <conditionalFormatting sqref="A48:J48">
    <cfRule type="expression" dxfId="30" priority="5">
      <formula>NOT($B$48=$B$47)</formula>
    </cfRule>
  </conditionalFormatting>
  <conditionalFormatting sqref="A49:J49">
    <cfRule type="expression" dxfId="29" priority="4">
      <formula>NOT($B$49=$B$48)</formula>
    </cfRule>
  </conditionalFormatting>
  <conditionalFormatting sqref="A50:J50">
    <cfRule type="expression" dxfId="28" priority="3">
      <formula>NOT($B$50=$B$49)</formula>
    </cfRule>
  </conditionalFormatting>
  <conditionalFormatting sqref="A51:J51">
    <cfRule type="expression" dxfId="27" priority="2">
      <formula>NOT($B$51=$B$50)</formula>
    </cfRule>
  </conditionalFormatting>
  <conditionalFormatting sqref="A52:J52">
    <cfRule type="expression" dxfId="26" priority="1">
      <formula>NOT($B$52=$B$51)</formula>
    </cfRule>
  </conditionalFormatting>
  <printOptions gridLines="1"/>
  <pageMargins left="0.75" right="0.75" top="1" bottom="1" header="0.5" footer="0.5"/>
  <pageSetup scale="43" orientation="portrait" r:id="rId1"/>
  <headerFooter alignWithMargins="0">
    <oddHeader>&amp;C&amp;"Arial,Bold"LOCCS
State Allocation of Expenditure Report for CPD Block Grant Programs
&amp;A&amp;R&amp;8
States grouped by Program Year
sorted by Unspent Ratio for current month</oddHeader>
  </headerFooter>
  <rowBreaks count="1" manualBreakCount="1">
    <brk id="55" max="9" man="1"/>
  </rowBreaks>
  <colBreaks count="1" manualBreakCount="1">
    <brk id="2" max="111" man="1"/>
  </colBreaks>
  <drawing r:id="rId2"/>
  <legacyDrawing r:id="rId3"/>
  <mc:AlternateContent xmlns:mc="http://schemas.openxmlformats.org/markup-compatibility/2006">
    <mc:Choice Requires="x14">
      <controls>
        <mc:AlternateContent xmlns:mc="http://schemas.openxmlformats.org/markup-compatibility/2006">
          <mc:Choice Requires="x14">
            <control shapeId="113670" r:id="rId4" name="Button 6">
              <controlPr defaultSize="0" print="0" autoFill="0" autoPict="0" macro="[0]!SORTRANKINGS">
                <anchor moveWithCells="1" sizeWithCells="1">
                  <from>
                    <xdr:col>11</xdr:col>
                    <xdr:colOff>12700</xdr:colOff>
                    <xdr:row>1</xdr:row>
                    <xdr:rowOff>285750</xdr:rowOff>
                  </from>
                  <to>
                    <xdr:col>12</xdr:col>
                    <xdr:colOff>0</xdr:colOff>
                    <xdr:row>1</xdr:row>
                    <xdr:rowOff>546100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359F-CAEC-4CC9-BDBC-C20BC68281ED}">
  <sheetPr codeName="Sheet6">
    <tabColor theme="9" tint="0.39997558519241921"/>
    <pageSetUpPr autoPageBreaks="0" fitToPage="1"/>
  </sheetPr>
  <dimension ref="A1:BF56"/>
  <sheetViews>
    <sheetView zoomScaleNormal="100" zoomScaleSheetLayoutView="40" workbookViewId="0">
      <pane xSplit="2" ySplit="2" topLeftCell="C3" activePane="bottomRight" state="frozen"/>
      <selection pane="topRight" activeCell="A3" sqref="A3"/>
      <selection pane="bottomLeft" activeCell="A3" sqref="A3"/>
      <selection pane="bottomRight"/>
    </sheetView>
  </sheetViews>
  <sheetFormatPr defaultColWidth="9.1796875" defaultRowHeight="13" x14ac:dyDescent="0.3"/>
  <cols>
    <col min="1" max="1" width="17.7265625" style="46" bestFit="1" customWidth="1"/>
    <col min="2" max="2" width="9" style="46" customWidth="1"/>
    <col min="3" max="3" width="6" style="46" customWidth="1"/>
    <col min="4" max="15" width="7.1796875" style="46" customWidth="1"/>
    <col min="16" max="27" width="7.26953125" style="56" customWidth="1"/>
    <col min="28" max="29" width="6" style="56" customWidth="1"/>
    <col min="30" max="30" width="8.1796875" style="56" customWidth="1"/>
    <col min="31" max="31" width="11.26953125" style="74" customWidth="1"/>
    <col min="32" max="32" width="4" style="46" customWidth="1"/>
    <col min="33" max="44" width="6.54296875" style="46" hidden="1" customWidth="1"/>
    <col min="45" max="56" width="6.54296875" style="46" customWidth="1"/>
    <col min="57" max="16384" width="9.1796875" style="46"/>
  </cols>
  <sheetData>
    <row r="1" spans="1:58" ht="15.5" x14ac:dyDescent="0.35">
      <c r="A1" s="62"/>
      <c r="B1" s="75"/>
      <c r="C1" s="75"/>
      <c r="D1" s="247" t="s">
        <v>144</v>
      </c>
      <c r="E1" s="248"/>
      <c r="F1" s="248"/>
      <c r="G1" s="248"/>
      <c r="H1" s="248"/>
      <c r="I1" s="248"/>
      <c r="J1" s="248"/>
      <c r="K1" s="248"/>
      <c r="L1" s="248"/>
      <c r="M1" s="248"/>
      <c r="N1" s="248"/>
      <c r="O1" s="248"/>
      <c r="P1" s="248"/>
      <c r="Q1" s="248"/>
      <c r="R1" s="248"/>
      <c r="S1" s="248"/>
      <c r="T1" s="248"/>
      <c r="U1" s="248"/>
      <c r="V1" s="248"/>
      <c r="W1" s="248"/>
      <c r="X1" s="248"/>
      <c r="Y1" s="248"/>
      <c r="Z1" s="248"/>
      <c r="AA1" s="248"/>
      <c r="AB1" s="245" t="s">
        <v>145</v>
      </c>
      <c r="AC1" s="246"/>
      <c r="AD1" s="246"/>
      <c r="AE1" s="76" t="s">
        <v>146</v>
      </c>
      <c r="AF1" s="127"/>
      <c r="AG1" s="249" t="s">
        <v>147</v>
      </c>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1"/>
    </row>
    <row r="2" spans="1:58" s="51" customFormat="1" ht="35.25" customHeight="1" x14ac:dyDescent="0.25">
      <c r="A2" s="77" t="s">
        <v>2</v>
      </c>
      <c r="B2" s="78" t="s">
        <v>135</v>
      </c>
      <c r="C2" s="79" t="s">
        <v>148</v>
      </c>
      <c r="D2" s="47" t="str">
        <f>'LOCCS Import'!AA4</f>
        <v>May'24</v>
      </c>
      <c r="E2" s="50" t="str">
        <f>'LOCCS Import'!Z4</f>
        <v>Jun'24</v>
      </c>
      <c r="F2" s="50" t="str">
        <f>'LOCCS Import'!Y4</f>
        <v>Jul'24</v>
      </c>
      <c r="G2" s="50" t="str">
        <f>'LOCCS Import'!X4</f>
        <v>Aug'24</v>
      </c>
      <c r="H2" s="50" t="str">
        <f>'LOCCS Import'!W4</f>
        <v>Sep'24</v>
      </c>
      <c r="I2" s="50" t="str">
        <f>'LOCCS Import'!V4</f>
        <v>Oct'24</v>
      </c>
      <c r="J2" s="50" t="str">
        <f>'LOCCS Import'!U4</f>
        <v>Nov'24</v>
      </c>
      <c r="K2" s="50" t="str">
        <f>'LOCCS Import'!T4</f>
        <v>Dec'24</v>
      </c>
      <c r="L2" s="50" t="str">
        <f>'LOCCS Import'!S4</f>
        <v>Jan'25</v>
      </c>
      <c r="M2" s="50" t="str">
        <f>'LOCCS Import'!R4</f>
        <v>Feb'25</v>
      </c>
      <c r="N2" s="50" t="str">
        <f>'LOCCS Import'!Q4</f>
        <v>Mar'25</v>
      </c>
      <c r="O2" s="50" t="str">
        <f>'LOCCS Import'!P4</f>
        <v>Apr'25</v>
      </c>
      <c r="P2" s="72" t="str">
        <f>'LOCCS Import'!O4</f>
        <v>May'25</v>
      </c>
      <c r="Q2" s="50" t="str">
        <f>'LOCCS Import'!N4</f>
        <v>Jun'25</v>
      </c>
      <c r="R2" s="50" t="str">
        <f>'LOCCS Import'!M4</f>
        <v>Jul'25</v>
      </c>
      <c r="S2" s="50" t="str">
        <f>'LOCCS Import'!L4</f>
        <v>Aug'25</v>
      </c>
      <c r="T2" s="50" t="str">
        <f>'LOCCS Import'!K4</f>
        <v>Sep'25</v>
      </c>
      <c r="U2" s="50" t="str">
        <f>'LOCCS Import'!J4</f>
        <v>Oct'25</v>
      </c>
      <c r="V2" s="50" t="str">
        <f>'LOCCS Import'!I4</f>
        <v>Nov'25</v>
      </c>
      <c r="W2" s="50" t="str">
        <f>'LOCCS Import'!H4</f>
        <v>Dec'25</v>
      </c>
      <c r="X2" s="50" t="str">
        <f>'LOCCS Import'!G4</f>
        <v>Jan'26</v>
      </c>
      <c r="Y2" s="50" t="str">
        <f>'LOCCS Import'!F4</f>
        <v>Feb'26</v>
      </c>
      <c r="Z2" s="50" t="str">
        <f>'LOCCS Import'!E4</f>
        <v>Mar'26</v>
      </c>
      <c r="AA2" s="50" t="str">
        <f>'LOCCS Import'!F1</f>
        <v>Apr'26</v>
      </c>
      <c r="AB2" s="87" t="s">
        <v>149</v>
      </c>
      <c r="AC2" s="49" t="s">
        <v>150</v>
      </c>
      <c r="AD2" s="69" t="s">
        <v>151</v>
      </c>
      <c r="AE2" s="221" t="s">
        <v>152</v>
      </c>
      <c r="AF2" s="128"/>
      <c r="AG2" s="47" t="str">
        <f>'LOCCS Import'!AA4</f>
        <v>May'24</v>
      </c>
      <c r="AH2" s="50" t="str">
        <f>'LOCCS Import'!Z4</f>
        <v>Jun'24</v>
      </c>
      <c r="AI2" s="50" t="str">
        <f>'LOCCS Import'!Y4</f>
        <v>Jul'24</v>
      </c>
      <c r="AJ2" s="50" t="str">
        <f>'LOCCS Import'!X4</f>
        <v>Aug'24</v>
      </c>
      <c r="AK2" s="50" t="str">
        <f>'LOCCS Import'!W4</f>
        <v>Sep'24</v>
      </c>
      <c r="AL2" s="50" t="str">
        <f>'LOCCS Import'!V4</f>
        <v>Oct'24</v>
      </c>
      <c r="AM2" s="50" t="str">
        <f>'LOCCS Import'!U4</f>
        <v>Nov'24</v>
      </c>
      <c r="AN2" s="50" t="str">
        <f>'LOCCS Import'!T4</f>
        <v>Dec'24</v>
      </c>
      <c r="AO2" s="50" t="str">
        <f>'LOCCS Import'!S4</f>
        <v>Jan'25</v>
      </c>
      <c r="AP2" s="50" t="str">
        <f>'LOCCS Import'!R4</f>
        <v>Feb'25</v>
      </c>
      <c r="AQ2" s="50" t="str">
        <f>'LOCCS Import'!Q4</f>
        <v>Mar'25</v>
      </c>
      <c r="AR2" s="50" t="str">
        <f>'LOCCS Import'!P4</f>
        <v>Apr'25</v>
      </c>
      <c r="AS2" s="72" t="str">
        <f>'LOCCS Import'!O4</f>
        <v>May'25</v>
      </c>
      <c r="AT2" s="50" t="str">
        <f>'LOCCS Import'!N4</f>
        <v>Jun'25</v>
      </c>
      <c r="AU2" s="50" t="str">
        <f>'LOCCS Import'!M4</f>
        <v>Jul'25</v>
      </c>
      <c r="AV2" s="50" t="str">
        <f>'LOCCS Import'!L4</f>
        <v>Aug'25</v>
      </c>
      <c r="AW2" s="50" t="str">
        <f>'LOCCS Import'!K4</f>
        <v>Sep'25</v>
      </c>
      <c r="AX2" s="50" t="str">
        <f>'LOCCS Import'!J4</f>
        <v>Oct'25</v>
      </c>
      <c r="AY2" s="50" t="str">
        <f>'LOCCS Import'!I4</f>
        <v>Nov'25</v>
      </c>
      <c r="AZ2" s="50" t="str">
        <f>'LOCCS Import'!H4</f>
        <v>Dec'25</v>
      </c>
      <c r="BA2" s="50" t="str">
        <f>'LOCCS Import'!G4</f>
        <v>Jan'26</v>
      </c>
      <c r="BB2" s="50" t="str">
        <f>'LOCCS Import'!F4</f>
        <v>Feb'26</v>
      </c>
      <c r="BC2" s="50" t="str">
        <f>'LOCCS Import'!E4</f>
        <v>Mar'26</v>
      </c>
      <c r="BD2" s="48" t="str">
        <f>'LOCCS Import'!F1</f>
        <v>Apr'26</v>
      </c>
      <c r="BE2" s="110" t="s">
        <v>153</v>
      </c>
      <c r="BF2" s="108" t="s">
        <v>154</v>
      </c>
    </row>
    <row r="3" spans="1:58" x14ac:dyDescent="0.3">
      <c r="A3" s="62" t="s">
        <v>61</v>
      </c>
      <c r="B3" s="63" t="s">
        <v>155</v>
      </c>
      <c r="C3" s="63" t="s">
        <v>156</v>
      </c>
      <c r="D3" s="53">
        <f ca="1">VLOOKUP(A3,INDIRECT('LOCCS Import'!$AA$3&amp;"$A$3"):INDIRECT('LOCCS Import'!$AA$3&amp;"$O$54"),7,)</f>
        <v>2.21</v>
      </c>
      <c r="E3" s="53">
        <f ca="1">VLOOKUP(A3,INDIRECT('LOCCS Import'!$Z$3&amp;"$A$3"):INDIRECT('LOCCS Import'!$Z$3&amp;"$O$54"),7,)</f>
        <v>2.14</v>
      </c>
      <c r="F3" s="53">
        <f ca="1">VLOOKUP(A3,INDIRECT('LOCCS Import'!$Y$3&amp;"$A$3"):INDIRECT('LOCCS Import'!$Y$3&amp;"$O$54"),7,)</f>
        <v>2.1</v>
      </c>
      <c r="G3" s="53">
        <f ca="1">VLOOKUP(A3,INDIRECT('LOCCS Import'!$X$3&amp;"$A$3"):INDIRECT('LOCCS Import'!$X$3&amp;"$O$54"),7,)</f>
        <v>1.96</v>
      </c>
      <c r="H3" s="53">
        <f ca="1">VLOOKUP(A3,INDIRECT('LOCCS Import'!$W$3&amp;"$A$3"):INDIRECT('LOCCS Import'!$W$3&amp;"$O$54"),7,)</f>
        <v>1.95</v>
      </c>
      <c r="I3" s="53">
        <f ca="1">VLOOKUP(A3,INDIRECT('LOCCS Import'!$V$3&amp;"$A$3"):INDIRECT('LOCCS Import'!$V$3&amp;"$O$54"),7,)</f>
        <v>1.82</v>
      </c>
      <c r="J3" s="53">
        <f ca="1">VLOOKUP(A3,INDIRECT('LOCCS Import'!$U$3&amp;"$A$3"):INDIRECT('LOCCS Import'!$U$3&amp;"$O$54"),7,)</f>
        <v>1.74</v>
      </c>
      <c r="K3" s="53">
        <f ca="1">VLOOKUP(A3,INDIRECT('LOCCS Import'!$T$3&amp;"$A$3"):INDIRECT('LOCCS Import'!$T$3&amp;"$O$54"),7,)</f>
        <v>1.66</v>
      </c>
      <c r="L3" s="53">
        <f ca="1">VLOOKUP(A3,INDIRECT('LOCCS Import'!$S$3&amp;"$A$3"):INDIRECT('LOCCS Import'!$S$3&amp;"$O$54"),7,)</f>
        <v>2.62</v>
      </c>
      <c r="M3" s="53">
        <f ca="1">VLOOKUP(A3,INDIRECT('LOCCS Import'!$R$3&amp;"$A$3"):INDIRECT('LOCCS Import'!$R$3&amp;"$O$54"),7,)</f>
        <v>2.5299999999999998</v>
      </c>
      <c r="N3" s="53">
        <f ca="1">VLOOKUP(A3,INDIRECT('LOCCS Import'!$Q$3&amp;"$A$3"):INDIRECT('LOCCS Import'!$Q$3&amp;"$O$54"),7,)</f>
        <v>2.4700000000000002</v>
      </c>
      <c r="O3" s="53">
        <f ca="1">VLOOKUP(A3,INDIRECT('LOCCS Import'!$P$3&amp;"$A$3"):INDIRECT('LOCCS Import'!$P$3&amp;"$O$54"),7,)</f>
        <v>2.4700000000000002</v>
      </c>
      <c r="P3" s="57">
        <f ca="1">VLOOKUP(A3,INDIRECT('LOCCS Import'!$O$3&amp;"$A$3"):INDIRECT('LOCCS Import'!$O$3&amp;"$O$54"),7,)</f>
        <v>2.2599999999999998</v>
      </c>
      <c r="Q3" s="53">
        <f ca="1">VLOOKUP(A3,INDIRECT('LOCCS Import'!$N$3&amp;"$A$3"):INDIRECT('LOCCS Import'!$N$3&amp;"$O$54"),7,)</f>
        <v>2.19</v>
      </c>
      <c r="R3" s="53">
        <f ca="1">VLOOKUP(A3,INDIRECT('LOCCS Import'!$M$3&amp;"$A$3"):INDIRECT('LOCCS Import'!$M$3&amp;"$O$54"),7,)</f>
        <v>2.13</v>
      </c>
      <c r="S3" s="53">
        <f ca="1">VLOOKUP(A3,INDIRECT('LOCCS Import'!$L$3&amp;"$A$3"):INDIRECT('LOCCS Import'!$L$3&amp;"$O$54"),7,)</f>
        <v>2.02</v>
      </c>
      <c r="T3" s="53">
        <f ca="1">VLOOKUP(A3,INDIRECT('LOCCS Import'!$K$3&amp;"$A$3"):INDIRECT('LOCCS Import'!$K$3&amp;"$O$54"),7,)</f>
        <v>2.0099999999999998</v>
      </c>
      <c r="U3" s="53">
        <f ca="1">VLOOKUP(A3,INDIRECT('LOCCS Import'!$J$3&amp;"$A$3"):INDIRECT('LOCCS Import'!$J$3&amp;"$O$54"),7,)</f>
        <v>1.9</v>
      </c>
      <c r="V3" s="53">
        <f ca="1">VLOOKUP(A3,INDIRECT('LOCCS Import'!$I$3&amp;"$A$3"):INDIRECT('LOCCS Import'!$I$3&amp;"$O$54"),7,)</f>
        <v>1.79</v>
      </c>
      <c r="W3" s="53">
        <f ca="1">VLOOKUP(A3,INDIRECT('LOCCS Import'!$H$3&amp;"$A$3"):INDIRECT('LOCCS Import'!$H$3&amp;"$O$54"),7,)</f>
        <v>2.72</v>
      </c>
      <c r="X3" s="53">
        <f ca="1">VLOOKUP(A3,INDIRECT('LOCCS Import'!$G$3&amp;"$A$3"):INDIRECT('LOCCS Import'!$G$3&amp;"$O$54"),7,)</f>
        <v>2.65</v>
      </c>
      <c r="Y3" s="53">
        <f ca="1">VLOOKUP(A3,INDIRECT('LOCCS Import'!$F$3&amp;"$A$3"):INDIRECT('LOCCS Import'!$F$3&amp;"$O$54"),7,)</f>
        <v>2.61</v>
      </c>
      <c r="Z3" s="53">
        <f ca="1">VLOOKUP(A3,INDIRECT('LOCCS Import'!$E$3&amp;"$A$3"):INDIRECT('LOCCS Import'!$E$3&amp;"$O$54"),7,)</f>
        <v>2.52</v>
      </c>
      <c r="AA3" s="53">
        <f>VLOOKUP(A3,template!$A$3:$P$54,7,)</f>
        <v>2.4500000000000002</v>
      </c>
      <c r="AB3" s="52">
        <f t="shared" ref="AB3:AB34" ca="1" si="0">MAX(P3:AA3)</f>
        <v>2.72</v>
      </c>
      <c r="AC3" s="53">
        <f t="shared" ref="AC3:AC34" ca="1" si="1">MIN(P3:AA3)</f>
        <v>1.79</v>
      </c>
      <c r="AD3" s="54">
        <f t="shared" ref="AD3:AD34" ca="1" si="2">AVERAGE(P3:AA3)</f>
        <v>2.270833333333333</v>
      </c>
      <c r="AE3" s="80">
        <f t="shared" ref="AE3:AE34" ca="1" si="3">RANK(AD3,AD$3:AD$52,1)</f>
        <v>13</v>
      </c>
      <c r="AF3" s="127"/>
      <c r="AG3" s="3">
        <f ca="1">VLOOKUP(A3,INDIRECT('LOCCS Import'!$AA$3&amp;"$A$3"):INDIRECT('LOCCS Import'!$AA$3&amp;"$O$54"),8,)</f>
        <v>1.1100000000000001</v>
      </c>
      <c r="AH3" s="1">
        <f ca="1">VLOOKUP(A3,INDIRECT('LOCCS Import'!$Z$3&amp;"$A$3"):INDIRECT('LOCCS Import'!$Z$3&amp;"$O$54"),8,)</f>
        <v>1.08</v>
      </c>
      <c r="AI3" s="1">
        <f ca="1">VLOOKUP(A3,INDIRECT('LOCCS Import'!$Y$3&amp;"$A$3"):INDIRECT('LOCCS Import'!$Y$3&amp;"$O$54"),8,)</f>
        <v>1.06</v>
      </c>
      <c r="AJ3" s="1">
        <f ca="1">VLOOKUP(A3,INDIRECT('LOCCS Import'!$X$3&amp;"$A$3"):INDIRECT('LOCCS Import'!$X$3&amp;"$O$54"),8,)</f>
        <v>1.01</v>
      </c>
      <c r="AK3" s="1">
        <f ca="1">VLOOKUP(A3,INDIRECT('LOCCS Import'!$W$3&amp;"$A$3"):INDIRECT('LOCCS Import'!$W$3&amp;"$O$54"),8,)</f>
        <v>1.01</v>
      </c>
      <c r="AL3" s="1">
        <f ca="1">VLOOKUP(A3,INDIRECT('LOCCS Import'!$V$3&amp;"$A$3"):INDIRECT('LOCCS Import'!$V$3&amp;"$O$54"),8,)</f>
        <v>1</v>
      </c>
      <c r="AM3" s="1">
        <f ca="1">VLOOKUP(A3,INDIRECT('LOCCS Import'!$U$3&amp;"$A$3"):INDIRECT('LOCCS Import'!$U$3&amp;"$O$54"),8,)</f>
        <v>0.97</v>
      </c>
      <c r="AN3" s="1">
        <f ca="1">VLOOKUP(A3,INDIRECT('LOCCS Import'!$T$3&amp;"$A$3"):INDIRECT('LOCCS Import'!$T$3&amp;"$O$54"),8,)</f>
        <v>0.92</v>
      </c>
      <c r="AO3" s="1">
        <f ca="1">VLOOKUP(A3,INDIRECT('LOCCS Import'!$S$3&amp;"$A$3"):INDIRECT('LOCCS Import'!$S$3&amp;"$O$54"),8,)</f>
        <v>0.91</v>
      </c>
      <c r="AP3" s="1">
        <f ca="1">VLOOKUP(A3,INDIRECT('LOCCS Import'!$R$3&amp;"$A$3"):INDIRECT('LOCCS Import'!$R$3&amp;"$O$54"),8,)</f>
        <v>0.92</v>
      </c>
      <c r="AQ3" s="1">
        <f ca="1">VLOOKUP(A3,INDIRECT('LOCCS Import'!$Q$3&amp;"$A$3"):INDIRECT('LOCCS Import'!$Q$3&amp;"$O$54"),8,)</f>
        <v>0.91</v>
      </c>
      <c r="AR3" s="1">
        <f ca="1">VLOOKUP(A3,INDIRECT('LOCCS Import'!$P$3&amp;"$A$3"):INDIRECT('LOCCS Import'!$P$3&amp;"$O$54"),8,)</f>
        <v>0.91</v>
      </c>
      <c r="AS3" s="1">
        <f ca="1">VLOOKUP(A3,INDIRECT('LOCCS Import'!$O$3&amp;"$A$3"):INDIRECT('LOCCS Import'!$O$3&amp;"$O$54"),8,)</f>
        <v>0.96</v>
      </c>
      <c r="AT3" s="1">
        <f ca="1">VLOOKUP(A3,INDIRECT('LOCCS Import'!$N$3&amp;"$A$3"):INDIRECT('LOCCS Import'!$N$3&amp;"$O$54"),8,)</f>
        <v>0.99</v>
      </c>
      <c r="AU3" s="1">
        <f ca="1">VLOOKUP(A3,INDIRECT('LOCCS Import'!$M$3&amp;"$A$3"):INDIRECT('LOCCS Import'!$M$3&amp;"$O$54"),8,)</f>
        <v>1</v>
      </c>
      <c r="AV3" s="1">
        <f ca="1">VLOOKUP(A3,INDIRECT('LOCCS Import'!$L$3&amp;"$A$3"):INDIRECT('LOCCS Import'!$L$3&amp;"$O$54"),8,)</f>
        <v>0.97</v>
      </c>
      <c r="AW3" s="1">
        <f ca="1">VLOOKUP(A3,INDIRECT('LOCCS Import'!$K$3&amp;"$A$3"):INDIRECT('LOCCS Import'!$K$3&amp;"$O$54"),8,)</f>
        <v>0.97</v>
      </c>
      <c r="AX3" s="1">
        <f ca="1">VLOOKUP(A3,INDIRECT('LOCCS Import'!$J$3&amp;"$A$3"):INDIRECT('LOCCS Import'!$J$3&amp;"$O$54"),8,)</f>
        <v>0.95</v>
      </c>
      <c r="AY3" s="1">
        <f ca="1">VLOOKUP(A3,INDIRECT('LOCCS Import'!$I$3&amp;"$A$3"):INDIRECT('LOCCS Import'!$I$3&amp;"$O$54"),8,)</f>
        <v>0.98</v>
      </c>
      <c r="AZ3" s="1">
        <f ca="1">VLOOKUP(A3,INDIRECT('LOCCS Import'!$H$3&amp;"$A$3"):INDIRECT('LOCCS Import'!$H$3&amp;"$O$54"),8,)</f>
        <v>0.95</v>
      </c>
      <c r="BA3" s="1">
        <f ca="1">VLOOKUP(A3,INDIRECT('LOCCS Import'!$G$3&amp;"$A$3"):INDIRECT('LOCCS Import'!$G$3&amp;"$O$54"),8,)</f>
        <v>0.95</v>
      </c>
      <c r="BB3" s="1">
        <f ca="1">VLOOKUP(A3,INDIRECT('LOCCS Import'!$F$3&amp;"$A$3"):INDIRECT('LOCCS Import'!$F$3&amp;"$O$54"),8,)</f>
        <v>0.9</v>
      </c>
      <c r="BC3" s="1">
        <f ca="1">VLOOKUP(A3,INDIRECT('LOCCS Import'!$E$3&amp;"$A$3"):INDIRECT('LOCCS Import'!$E$3&amp;"$O$54"),8,)</f>
        <v>0.92</v>
      </c>
      <c r="BD3" s="2">
        <f>VLOOKUP(A3,template!$A$3:$P$54,8,)</f>
        <v>0.85</v>
      </c>
      <c r="BE3" s="2">
        <f t="shared" ref="BE3:BE34" ca="1" si="4">AVERAGE(AS3:BD3)</f>
        <v>0.94916666666666671</v>
      </c>
      <c r="BF3" s="109">
        <f ca="1">RANK(BE3,$BE$3:$BE$52)</f>
        <v>24</v>
      </c>
    </row>
    <row r="4" spans="1:58" x14ac:dyDescent="0.3">
      <c r="A4" s="64" t="s">
        <v>47</v>
      </c>
      <c r="B4" s="61" t="s">
        <v>157</v>
      </c>
      <c r="C4" s="61" t="s">
        <v>127</v>
      </c>
      <c r="D4" s="57">
        <f ca="1">VLOOKUP(A4,INDIRECT('LOCCS Import'!$AA$3&amp;"$A$3"):INDIRECT('LOCCS Import'!$AA$3&amp;"$O$54"),7,)</f>
        <v>2.87</v>
      </c>
      <c r="E4" s="57">
        <f ca="1">VLOOKUP(A4,INDIRECT('LOCCS Import'!$Z$3&amp;"$A$3"):INDIRECT('LOCCS Import'!$Z$3&amp;"$O$54"),7,)</f>
        <v>2.79</v>
      </c>
      <c r="F4" s="57">
        <f ca="1">VLOOKUP(A4,INDIRECT('LOCCS Import'!$Y$3&amp;"$A$3"):INDIRECT('LOCCS Import'!$Y$3&amp;"$O$54"),7,)</f>
        <v>2.69</v>
      </c>
      <c r="G4" s="57">
        <f ca="1">VLOOKUP(A4,INDIRECT('LOCCS Import'!$X$3&amp;"$A$3"):INDIRECT('LOCCS Import'!$X$3&amp;"$O$54"),7,)</f>
        <v>2.69</v>
      </c>
      <c r="H4" s="57">
        <f ca="1">VLOOKUP(A4,INDIRECT('LOCCS Import'!$W$3&amp;"$A$3"):INDIRECT('LOCCS Import'!$W$3&amp;"$O$54"),7,)</f>
        <v>3.71</v>
      </c>
      <c r="I4" s="57">
        <f ca="1">VLOOKUP(A4,INDIRECT('LOCCS Import'!$V$3&amp;"$A$3"):INDIRECT('LOCCS Import'!$V$3&amp;"$O$54"),7,)</f>
        <v>3.71</v>
      </c>
      <c r="J4" s="57">
        <f ca="1">VLOOKUP(A4,INDIRECT('LOCCS Import'!$U$3&amp;"$A$3"):INDIRECT('LOCCS Import'!$U$3&amp;"$O$54"),7,)</f>
        <v>3.58</v>
      </c>
      <c r="K4" s="57">
        <f ca="1">VLOOKUP(A4,INDIRECT('LOCCS Import'!$T$3&amp;"$A$3"):INDIRECT('LOCCS Import'!$T$3&amp;"$O$54"),7,)</f>
        <v>3.48</v>
      </c>
      <c r="L4" s="57">
        <f ca="1">VLOOKUP(A4,INDIRECT('LOCCS Import'!$S$3&amp;"$A$3"):INDIRECT('LOCCS Import'!$S$3&amp;"$O$54"),7,)</f>
        <v>3.46</v>
      </c>
      <c r="M4" s="57">
        <f ca="1">VLOOKUP(A4,INDIRECT('LOCCS Import'!$R$3&amp;"$A$3"):INDIRECT('LOCCS Import'!$R$3&amp;"$O$54"),7,)</f>
        <v>3.43</v>
      </c>
      <c r="N4" s="57">
        <f ca="1">VLOOKUP(A4,INDIRECT('LOCCS Import'!$Q$3&amp;"$A$3"):INDIRECT('LOCCS Import'!$Q$3&amp;"$O$54"),7,)</f>
        <v>3.39</v>
      </c>
      <c r="O4" s="57">
        <f ca="1">VLOOKUP(A4,INDIRECT('LOCCS Import'!$P$3&amp;"$A$3"):INDIRECT('LOCCS Import'!$P$3&amp;"$O$54"),7,)</f>
        <v>3.39</v>
      </c>
      <c r="P4" s="57">
        <f ca="1">VLOOKUP(A4,INDIRECT('LOCCS Import'!$O$3&amp;"$A$3"):INDIRECT('LOCCS Import'!$O$3&amp;"$O$54"),7,)</f>
        <v>3.28</v>
      </c>
      <c r="Q4" s="57">
        <f ca="1">VLOOKUP(A4,INDIRECT('LOCCS Import'!$N$3&amp;"$A$3"):INDIRECT('LOCCS Import'!$N$3&amp;"$O$54"),7,)</f>
        <v>3.28</v>
      </c>
      <c r="R4" s="57">
        <f ca="1">VLOOKUP(A4,INDIRECT('LOCCS Import'!$M$3&amp;"$A$3"):INDIRECT('LOCCS Import'!$M$3&amp;"$O$54"),7,)</f>
        <v>3.27</v>
      </c>
      <c r="S4" s="57">
        <f ca="1">VLOOKUP(A4,INDIRECT('LOCCS Import'!$L$3&amp;"$A$3"):INDIRECT('LOCCS Import'!$L$3&amp;"$O$54"),7,)</f>
        <v>3.27</v>
      </c>
      <c r="T4" s="57">
        <f ca="1">VLOOKUP(A4,INDIRECT('LOCCS Import'!$K$3&amp;"$A$3"):INDIRECT('LOCCS Import'!$K$3&amp;"$O$54"),7,)</f>
        <v>4.28</v>
      </c>
      <c r="U4" s="57">
        <f ca="1">VLOOKUP(A4,INDIRECT('LOCCS Import'!$J$3&amp;"$A$3"):INDIRECT('LOCCS Import'!$J$3&amp;"$O$54"),7,)</f>
        <v>4.26</v>
      </c>
      <c r="V4" s="57">
        <f ca="1">VLOOKUP(A4,INDIRECT('LOCCS Import'!$I$3&amp;"$A$3"):INDIRECT('LOCCS Import'!$I$3&amp;"$O$54"),7,)</f>
        <v>4.26</v>
      </c>
      <c r="W4" s="57">
        <f ca="1">VLOOKUP(A4,INDIRECT('LOCCS Import'!$H$3&amp;"$A$3"):INDIRECT('LOCCS Import'!$H$3&amp;"$O$54"),7,)</f>
        <v>4.0999999999999996</v>
      </c>
      <c r="X4" s="57">
        <f ca="1">VLOOKUP(A4,INDIRECT('LOCCS Import'!$G$3&amp;"$A$3"):INDIRECT('LOCCS Import'!$G$3&amp;"$O$54"),7,)</f>
        <v>3.75</v>
      </c>
      <c r="Y4" s="57">
        <f ca="1">VLOOKUP(A4,INDIRECT('LOCCS Import'!$F$3&amp;"$A$3"):INDIRECT('LOCCS Import'!$F$3&amp;"$O$54"),7,)</f>
        <v>3.73</v>
      </c>
      <c r="Z4" s="57">
        <f ca="1">VLOOKUP(A4,INDIRECT('LOCCS Import'!$E$3&amp;"$A$3"):INDIRECT('LOCCS Import'!$E$3&amp;"$O$54"),7,)</f>
        <v>3.68</v>
      </c>
      <c r="AA4" s="57">
        <f>VLOOKUP(A4,template!$A$3:$P$54,7,)</f>
        <v>3.67</v>
      </c>
      <c r="AB4" s="55">
        <f t="shared" ca="1" si="0"/>
        <v>4.28</v>
      </c>
      <c r="AC4" s="57">
        <f t="shared" ca="1" si="1"/>
        <v>3.27</v>
      </c>
      <c r="AD4" s="58">
        <f t="shared" ca="1" si="2"/>
        <v>3.7358333333333333</v>
      </c>
      <c r="AE4" s="80">
        <f t="shared" ca="1" si="3"/>
        <v>37</v>
      </c>
      <c r="AF4" s="127"/>
      <c r="AG4" s="3">
        <f ca="1">VLOOKUP(A4,INDIRECT('LOCCS Import'!$AA$3&amp;"$A$3"):INDIRECT('LOCCS Import'!$AA$3&amp;"$O$54"),8,)</f>
        <v>0.79</v>
      </c>
      <c r="AH4" s="1">
        <f ca="1">VLOOKUP(A4,INDIRECT('LOCCS Import'!$Z$3&amp;"$A$3"):INDIRECT('LOCCS Import'!$Z$3&amp;"$O$54"),8,)</f>
        <v>0.83</v>
      </c>
      <c r="AI4" s="1">
        <f ca="1">VLOOKUP(A4,INDIRECT('LOCCS Import'!$Y$3&amp;"$A$3"):INDIRECT('LOCCS Import'!$Y$3&amp;"$O$54"),8,)</f>
        <v>0.93</v>
      </c>
      <c r="AJ4" s="1">
        <f ca="1">VLOOKUP(A4,INDIRECT('LOCCS Import'!$X$3&amp;"$A$3"):INDIRECT('LOCCS Import'!$X$3&amp;"$O$54"),8,)</f>
        <v>0.87</v>
      </c>
      <c r="AK4" s="1">
        <f ca="1">VLOOKUP(A4,INDIRECT('LOCCS Import'!$W$3&amp;"$A$3"):INDIRECT('LOCCS Import'!$W$3&amp;"$O$54"),8,)</f>
        <v>0.88</v>
      </c>
      <c r="AL4" s="1">
        <f ca="1">VLOOKUP(A4,INDIRECT('LOCCS Import'!$V$3&amp;"$A$3"):INDIRECT('LOCCS Import'!$V$3&amp;"$O$54"),8,)</f>
        <v>0.81</v>
      </c>
      <c r="AM4" s="1">
        <f ca="1">VLOOKUP(A4,INDIRECT('LOCCS Import'!$U$3&amp;"$A$3"):INDIRECT('LOCCS Import'!$U$3&amp;"$O$54"),8,)</f>
        <v>0.94</v>
      </c>
      <c r="AN4" s="1">
        <f ca="1">VLOOKUP(A4,INDIRECT('LOCCS Import'!$T$3&amp;"$A$3"):INDIRECT('LOCCS Import'!$T$3&amp;"$O$54"),8,)</f>
        <v>1.02</v>
      </c>
      <c r="AO4" s="1">
        <f ca="1">VLOOKUP(A4,INDIRECT('LOCCS Import'!$S$3&amp;"$A$3"):INDIRECT('LOCCS Import'!$S$3&amp;"$O$54"),8,)</f>
        <v>0.82</v>
      </c>
      <c r="AP4" s="1">
        <f ca="1">VLOOKUP(A4,INDIRECT('LOCCS Import'!$R$3&amp;"$A$3"):INDIRECT('LOCCS Import'!$R$3&amp;"$O$54"),8,)</f>
        <v>0.86</v>
      </c>
      <c r="AQ4" s="1">
        <f ca="1">VLOOKUP(A4,INDIRECT('LOCCS Import'!$Q$3&amp;"$A$3"):INDIRECT('LOCCS Import'!$Q$3&amp;"$O$54"),8,)</f>
        <v>0.6</v>
      </c>
      <c r="AR4" s="1">
        <f ca="1">VLOOKUP(A4,INDIRECT('LOCCS Import'!$P$3&amp;"$A$3"):INDIRECT('LOCCS Import'!$P$3&amp;"$O$54"),8,)</f>
        <v>0.6</v>
      </c>
      <c r="AS4" s="1">
        <f ca="1">VLOOKUP(A4,INDIRECT('LOCCS Import'!$O$3&amp;"$A$3"):INDIRECT('LOCCS Import'!$O$3&amp;"$O$54"),8,)</f>
        <v>0.61</v>
      </c>
      <c r="AT4" s="1">
        <f ca="1">VLOOKUP(A4,INDIRECT('LOCCS Import'!$N$3&amp;"$A$3"):INDIRECT('LOCCS Import'!$N$3&amp;"$O$54"),8,)</f>
        <v>0.54</v>
      </c>
      <c r="AU4" s="1">
        <f ca="1">VLOOKUP(A4,INDIRECT('LOCCS Import'!$M$3&amp;"$A$3"):INDIRECT('LOCCS Import'!$M$3&amp;"$O$54"),8,)</f>
        <v>0.43</v>
      </c>
      <c r="AV4" s="1">
        <f ca="1">VLOOKUP(A4,INDIRECT('LOCCS Import'!$L$3&amp;"$A$3"):INDIRECT('LOCCS Import'!$L$3&amp;"$O$54"),8,)</f>
        <v>0.43</v>
      </c>
      <c r="AW4" s="1">
        <f ca="1">VLOOKUP(A4,INDIRECT('LOCCS Import'!$K$3&amp;"$A$3"):INDIRECT('LOCCS Import'!$K$3&amp;"$O$54"),8,)</f>
        <v>0.53</v>
      </c>
      <c r="AX4" s="1">
        <f ca="1">VLOOKUP(A4,INDIRECT('LOCCS Import'!$J$3&amp;"$A$3"):INDIRECT('LOCCS Import'!$J$3&amp;"$O$54"),8,)</f>
        <v>0.54</v>
      </c>
      <c r="AY4" s="1">
        <f ca="1">VLOOKUP(A4,INDIRECT('LOCCS Import'!$I$3&amp;"$A$3"):INDIRECT('LOCCS Import'!$I$3&amp;"$O$54"),8,)</f>
        <v>0.42</v>
      </c>
      <c r="AZ4" s="1">
        <f ca="1">VLOOKUP(A4,INDIRECT('LOCCS Import'!$H$3&amp;"$A$3"):INDIRECT('LOCCS Import'!$H$3&amp;"$O$54"),8,)</f>
        <v>0.48</v>
      </c>
      <c r="BA4" s="1">
        <f ca="1">VLOOKUP(A4,INDIRECT('LOCCS Import'!$G$3&amp;"$A$3"):INDIRECT('LOCCS Import'!$G$3&amp;"$O$54"),8,)</f>
        <v>0.81</v>
      </c>
      <c r="BB4" s="1">
        <f ca="1">VLOOKUP(A4,INDIRECT('LOCCS Import'!$F$3&amp;"$A$3"):INDIRECT('LOCCS Import'!$F$3&amp;"$O$54"),8,)</f>
        <v>0.8</v>
      </c>
      <c r="BC4" s="1">
        <f ca="1">VLOOKUP(A4,INDIRECT('LOCCS Import'!$E$3&amp;"$A$3"):INDIRECT('LOCCS Import'!$E$3&amp;"$O$54"),8,)</f>
        <v>0.81</v>
      </c>
      <c r="BD4" s="2">
        <f>VLOOKUP(A4,template!$A$3:$P$54,8,)</f>
        <v>0.72</v>
      </c>
      <c r="BE4" s="2">
        <f t="shared" ca="1" si="4"/>
        <v>0.59333333333333338</v>
      </c>
      <c r="BF4" s="109">
        <f t="shared" ref="BF4:BF52" ca="1" si="5">RANK(BE4,$BE$3:$BE$52)</f>
        <v>48</v>
      </c>
    </row>
    <row r="5" spans="1:58" x14ac:dyDescent="0.3">
      <c r="A5" s="64" t="s">
        <v>65</v>
      </c>
      <c r="B5" s="61" t="s">
        <v>157</v>
      </c>
      <c r="C5" s="61" t="s">
        <v>158</v>
      </c>
      <c r="D5" s="57">
        <f ca="1">VLOOKUP(A5,INDIRECT('LOCCS Import'!$AA$3&amp;"$A$3"):INDIRECT('LOCCS Import'!$AA$3&amp;"$O$54"),7,)</f>
        <v>1.85</v>
      </c>
      <c r="E5" s="57">
        <f ca="1">VLOOKUP(A5,INDIRECT('LOCCS Import'!$Z$3&amp;"$A$3"):INDIRECT('LOCCS Import'!$Z$3&amp;"$O$54"),7,)</f>
        <v>1.71</v>
      </c>
      <c r="F5" s="57">
        <f ca="1">VLOOKUP(A5,INDIRECT('LOCCS Import'!$Y$3&amp;"$A$3"):INDIRECT('LOCCS Import'!$Y$3&amp;"$O$54"),7,)</f>
        <v>1.65</v>
      </c>
      <c r="G5" s="57">
        <f ca="1">VLOOKUP(A5,INDIRECT('LOCCS Import'!$X$3&amp;"$A$3"):INDIRECT('LOCCS Import'!$X$3&amp;"$O$54"),7,)</f>
        <v>1.57</v>
      </c>
      <c r="H5" s="57">
        <f ca="1">VLOOKUP(A5,INDIRECT('LOCCS Import'!$W$3&amp;"$A$3"):INDIRECT('LOCCS Import'!$W$3&amp;"$O$54"),7,)</f>
        <v>1.46</v>
      </c>
      <c r="I5" s="57">
        <f ca="1">VLOOKUP(A5,INDIRECT('LOCCS Import'!$V$3&amp;"$A$3"):INDIRECT('LOCCS Import'!$V$3&amp;"$O$54"),7,)</f>
        <v>1.37</v>
      </c>
      <c r="J5" s="57">
        <f ca="1">VLOOKUP(A5,INDIRECT('LOCCS Import'!$U$3&amp;"$A$3"):INDIRECT('LOCCS Import'!$U$3&amp;"$O$54"),7,)</f>
        <v>2.23</v>
      </c>
      <c r="K5" s="57">
        <f ca="1">VLOOKUP(A5,INDIRECT('LOCCS Import'!$T$3&amp;"$A$3"):INDIRECT('LOCCS Import'!$T$3&amp;"$O$54"),7,)</f>
        <v>2.16</v>
      </c>
      <c r="L5" s="57">
        <f ca="1">VLOOKUP(A5,INDIRECT('LOCCS Import'!$S$3&amp;"$A$3"):INDIRECT('LOCCS Import'!$S$3&amp;"$O$54"),7,)</f>
        <v>2.12</v>
      </c>
      <c r="M5" s="57">
        <f ca="1">VLOOKUP(A5,INDIRECT('LOCCS Import'!$R$3&amp;"$A$3"):INDIRECT('LOCCS Import'!$R$3&amp;"$O$54"),7,)</f>
        <v>1.96</v>
      </c>
      <c r="N5" s="57">
        <f ca="1">VLOOKUP(A5,INDIRECT('LOCCS Import'!$Q$3&amp;"$A$3"):INDIRECT('LOCCS Import'!$Q$3&amp;"$O$54"),7,)</f>
        <v>1.89</v>
      </c>
      <c r="O5" s="57">
        <f ca="1">VLOOKUP(A5,INDIRECT('LOCCS Import'!$P$3&amp;"$A$3"):INDIRECT('LOCCS Import'!$P$3&amp;"$O$54"),7,)</f>
        <v>1.89</v>
      </c>
      <c r="P5" s="57">
        <f ca="1">VLOOKUP(A5,INDIRECT('LOCCS Import'!$O$3&amp;"$A$3"):INDIRECT('LOCCS Import'!$O$3&amp;"$O$54"),7,)</f>
        <v>1.66</v>
      </c>
      <c r="Q5" s="57">
        <f ca="1">VLOOKUP(A5,INDIRECT('LOCCS Import'!$N$3&amp;"$A$3"):INDIRECT('LOCCS Import'!$N$3&amp;"$O$54"),7,)</f>
        <v>1.63</v>
      </c>
      <c r="R5" s="57">
        <f ca="1">VLOOKUP(A5,INDIRECT('LOCCS Import'!$M$3&amp;"$A$3"):INDIRECT('LOCCS Import'!$M$3&amp;"$O$54"),7,)</f>
        <v>1.47</v>
      </c>
      <c r="S5" s="57">
        <f ca="1">VLOOKUP(A5,INDIRECT('LOCCS Import'!$L$3&amp;"$A$3"):INDIRECT('LOCCS Import'!$L$3&amp;"$O$54"),7,)</f>
        <v>1.37</v>
      </c>
      <c r="T5" s="57">
        <f ca="1">VLOOKUP(A5,INDIRECT('LOCCS Import'!$K$3&amp;"$A$3"):INDIRECT('LOCCS Import'!$K$3&amp;"$O$54"),7,)</f>
        <v>2.34</v>
      </c>
      <c r="U5" s="57">
        <f ca="1">VLOOKUP(A5,INDIRECT('LOCCS Import'!$J$3&amp;"$A$3"):INDIRECT('LOCCS Import'!$J$3&amp;"$O$54"),7,)</f>
        <v>2.27</v>
      </c>
      <c r="V5" s="57">
        <f ca="1">VLOOKUP(A5,INDIRECT('LOCCS Import'!$I$3&amp;"$A$3"):INDIRECT('LOCCS Import'!$I$3&amp;"$O$54"),7,)</f>
        <v>2.19</v>
      </c>
      <c r="W5" s="57">
        <f ca="1">VLOOKUP(A5,INDIRECT('LOCCS Import'!$H$3&amp;"$A$3"):INDIRECT('LOCCS Import'!$H$3&amp;"$O$54"),7,)</f>
        <v>2.09</v>
      </c>
      <c r="X5" s="57">
        <f ca="1">VLOOKUP(A5,INDIRECT('LOCCS Import'!$G$3&amp;"$A$3"):INDIRECT('LOCCS Import'!$G$3&amp;"$O$54"),7,)</f>
        <v>2.02</v>
      </c>
      <c r="Y5" s="57">
        <f ca="1">VLOOKUP(A5,INDIRECT('LOCCS Import'!$F$3&amp;"$A$3"):INDIRECT('LOCCS Import'!$F$3&amp;"$O$54"),7,)</f>
        <v>1.93</v>
      </c>
      <c r="Z5" s="57">
        <f ca="1">VLOOKUP(A5,INDIRECT('LOCCS Import'!$E$3&amp;"$A$3"):INDIRECT('LOCCS Import'!$E$3&amp;"$O$54"),7,)</f>
        <v>1.81</v>
      </c>
      <c r="AA5" s="57">
        <f>VLOOKUP(A5,template!$A$3:$P$54,7,)</f>
        <v>1.72</v>
      </c>
      <c r="AB5" s="55">
        <f t="shared" ca="1" si="0"/>
        <v>2.34</v>
      </c>
      <c r="AC5" s="57">
        <f t="shared" ca="1" si="1"/>
        <v>1.37</v>
      </c>
      <c r="AD5" s="58">
        <f t="shared" ca="1" si="2"/>
        <v>1.8749999999999998</v>
      </c>
      <c r="AE5" s="80">
        <f t="shared" ca="1" si="3"/>
        <v>3</v>
      </c>
      <c r="AF5" s="127"/>
      <c r="AG5" s="3">
        <f ca="1">VLOOKUP(A5,INDIRECT('LOCCS Import'!$AA$3&amp;"$A$3"):INDIRECT('LOCCS Import'!$AA$3&amp;"$O$54"),8,)</f>
        <v>0.84</v>
      </c>
      <c r="AH5" s="1">
        <f ca="1">VLOOKUP(A5,INDIRECT('LOCCS Import'!$Z$3&amp;"$A$3"):INDIRECT('LOCCS Import'!$Z$3&amp;"$O$54"),8,)</f>
        <v>0.89</v>
      </c>
      <c r="AI5" s="1">
        <f ca="1">VLOOKUP(A5,INDIRECT('LOCCS Import'!$Y$3&amp;"$A$3"):INDIRECT('LOCCS Import'!$Y$3&amp;"$O$54"),8,)</f>
        <v>0.91</v>
      </c>
      <c r="AJ5" s="1">
        <f ca="1">VLOOKUP(A5,INDIRECT('LOCCS Import'!$X$3&amp;"$A$3"):INDIRECT('LOCCS Import'!$X$3&amp;"$O$54"),8,)</f>
        <v>0.95</v>
      </c>
      <c r="AK5" s="1">
        <f ca="1">VLOOKUP(A5,INDIRECT('LOCCS Import'!$W$3&amp;"$A$3"):INDIRECT('LOCCS Import'!$W$3&amp;"$O$54"),8,)</f>
        <v>0.99</v>
      </c>
      <c r="AL5" s="1">
        <f ca="1">VLOOKUP(A5,INDIRECT('LOCCS Import'!$V$3&amp;"$A$3"):INDIRECT('LOCCS Import'!$V$3&amp;"$O$54"),8,)</f>
        <v>0.98</v>
      </c>
      <c r="AM5" s="1">
        <f ca="1">VLOOKUP(A5,INDIRECT('LOCCS Import'!$U$3&amp;"$A$3"):INDIRECT('LOCCS Import'!$U$3&amp;"$O$54"),8,)</f>
        <v>1</v>
      </c>
      <c r="AN5" s="1">
        <f ca="1">VLOOKUP(A5,INDIRECT('LOCCS Import'!$T$3&amp;"$A$3"):INDIRECT('LOCCS Import'!$T$3&amp;"$O$54"),8,)</f>
        <v>0.96</v>
      </c>
      <c r="AO5" s="1">
        <f ca="1">VLOOKUP(A5,INDIRECT('LOCCS Import'!$S$3&amp;"$A$3"):INDIRECT('LOCCS Import'!$S$3&amp;"$O$54"),8,)</f>
        <v>0.93</v>
      </c>
      <c r="AP5" s="1">
        <f ca="1">VLOOKUP(A5,INDIRECT('LOCCS Import'!$R$3&amp;"$A$3"):INDIRECT('LOCCS Import'!$R$3&amp;"$O$54"),8,)</f>
        <v>1.02</v>
      </c>
      <c r="AQ5" s="1">
        <f ca="1">VLOOKUP(A5,INDIRECT('LOCCS Import'!$Q$3&amp;"$A$3"):INDIRECT('LOCCS Import'!$Q$3&amp;"$O$54"),8,)</f>
        <v>1.03</v>
      </c>
      <c r="AR5" s="1">
        <f ca="1">VLOOKUP(A5,INDIRECT('LOCCS Import'!$P$3&amp;"$A$3"):INDIRECT('LOCCS Import'!$P$3&amp;"$O$54"),8,)</f>
        <v>1.03</v>
      </c>
      <c r="AS5" s="1">
        <f ca="1">VLOOKUP(A5,INDIRECT('LOCCS Import'!$O$3&amp;"$A$3"):INDIRECT('LOCCS Import'!$O$3&amp;"$O$54"),8,)</f>
        <v>1.1499999999999999</v>
      </c>
      <c r="AT5" s="1">
        <f ca="1">VLOOKUP(A5,INDIRECT('LOCCS Import'!$N$3&amp;"$A$3"):INDIRECT('LOCCS Import'!$N$3&amp;"$O$54"),8,)</f>
        <v>1.05</v>
      </c>
      <c r="AU5" s="1">
        <f ca="1">VLOOKUP(A5,INDIRECT('LOCCS Import'!$M$3&amp;"$A$3"):INDIRECT('LOCCS Import'!$M$3&amp;"$O$54"),8,)</f>
        <v>1.1499999999999999</v>
      </c>
      <c r="AV5" s="1">
        <f ca="1">VLOOKUP(A5,INDIRECT('LOCCS Import'!$L$3&amp;"$A$3"):INDIRECT('LOCCS Import'!$L$3&amp;"$O$54"),8,)</f>
        <v>1.17</v>
      </c>
      <c r="AW5" s="1">
        <f ca="1">VLOOKUP(A5,INDIRECT('LOCCS Import'!$K$3&amp;"$A$3"):INDIRECT('LOCCS Import'!$K$3&amp;"$O$54"),8,)</f>
        <v>1.21</v>
      </c>
      <c r="AX5" s="1">
        <f ca="1">VLOOKUP(A5,INDIRECT('LOCCS Import'!$J$3&amp;"$A$3"):INDIRECT('LOCCS Import'!$J$3&amp;"$O$54"),8,)</f>
        <v>1.19</v>
      </c>
      <c r="AY5" s="1">
        <f ca="1">VLOOKUP(A5,INDIRECT('LOCCS Import'!$I$3&amp;"$A$3"):INDIRECT('LOCCS Import'!$I$3&amp;"$O$54"),8,)</f>
        <v>1.1499999999999999</v>
      </c>
      <c r="AZ5" s="1">
        <f ca="1">VLOOKUP(A5,INDIRECT('LOCCS Import'!$H$3&amp;"$A$3"):INDIRECT('LOCCS Import'!$H$3&amp;"$O$54"),8,)</f>
        <v>1.18</v>
      </c>
      <c r="BA5" s="1">
        <f ca="1">VLOOKUP(A5,INDIRECT('LOCCS Import'!$G$3&amp;"$A$3"):INDIRECT('LOCCS Import'!$G$3&amp;"$O$54"),8,)</f>
        <v>1.2</v>
      </c>
      <c r="BB5" s="1">
        <f ca="1">VLOOKUP(A5,INDIRECT('LOCCS Import'!$F$3&amp;"$A$3"):INDIRECT('LOCCS Import'!$F$3&amp;"$O$54"),8,)</f>
        <v>1.1299999999999999</v>
      </c>
      <c r="BC5" s="1">
        <f ca="1">VLOOKUP(A5,INDIRECT('LOCCS Import'!$E$3&amp;"$A$3"):INDIRECT('LOCCS Import'!$E$3&amp;"$O$54"),8,)</f>
        <v>1.17</v>
      </c>
      <c r="BD5" s="2">
        <f>VLOOKUP(A5,template!$A$3:$P$54,8,)</f>
        <v>1.1299999999999999</v>
      </c>
      <c r="BE5" s="2">
        <f t="shared" ca="1" si="4"/>
        <v>1.1566666666666665</v>
      </c>
      <c r="BF5" s="109">
        <f t="shared" ca="1" si="5"/>
        <v>11</v>
      </c>
    </row>
    <row r="6" spans="1:58" x14ac:dyDescent="0.3">
      <c r="A6" s="64" t="s">
        <v>29</v>
      </c>
      <c r="B6" s="61" t="s">
        <v>157</v>
      </c>
      <c r="C6" s="61" t="s">
        <v>159</v>
      </c>
      <c r="D6" s="57">
        <f ca="1">VLOOKUP(A6,INDIRECT('LOCCS Import'!$AA$3&amp;"$A$3"):INDIRECT('LOCCS Import'!$AA$3&amp;"$O$54"),7,)</f>
        <v>3.8</v>
      </c>
      <c r="E6" s="57">
        <f ca="1">VLOOKUP(A6,INDIRECT('LOCCS Import'!$Z$3&amp;"$A$3"):INDIRECT('LOCCS Import'!$Z$3&amp;"$O$54"),7,)</f>
        <v>3.71</v>
      </c>
      <c r="F6" s="57">
        <f ca="1">VLOOKUP(A6,INDIRECT('LOCCS Import'!$Y$3&amp;"$A$3"):INDIRECT('LOCCS Import'!$Y$3&amp;"$O$54"),7,)</f>
        <v>3.65</v>
      </c>
      <c r="G6" s="57">
        <f ca="1">VLOOKUP(A6,INDIRECT('LOCCS Import'!$X$3&amp;"$A$3"):INDIRECT('LOCCS Import'!$X$3&amp;"$O$54"),7,)</f>
        <v>3.52</v>
      </c>
      <c r="H6" s="57">
        <f ca="1">VLOOKUP(A6,INDIRECT('LOCCS Import'!$W$3&amp;"$A$3"):INDIRECT('LOCCS Import'!$W$3&amp;"$O$54"),7,)</f>
        <v>3.38</v>
      </c>
      <c r="I6" s="57">
        <f ca="1">VLOOKUP(A6,INDIRECT('LOCCS Import'!$V$3&amp;"$A$3"):INDIRECT('LOCCS Import'!$V$3&amp;"$O$54"),7,)</f>
        <v>3.32</v>
      </c>
      <c r="J6" s="57">
        <f ca="1">VLOOKUP(A6,INDIRECT('LOCCS Import'!$U$3&amp;"$A$3"):INDIRECT('LOCCS Import'!$U$3&amp;"$O$54"),7,)</f>
        <v>3.09</v>
      </c>
      <c r="K6" s="57">
        <f ca="1">VLOOKUP(A6,INDIRECT('LOCCS Import'!$T$3&amp;"$A$3"):INDIRECT('LOCCS Import'!$T$3&amp;"$O$54"),7,)</f>
        <v>3.02</v>
      </c>
      <c r="L6" s="57">
        <f ca="1">VLOOKUP(A6,INDIRECT('LOCCS Import'!$S$3&amp;"$A$3"):INDIRECT('LOCCS Import'!$S$3&amp;"$O$54"),7,)</f>
        <v>3.98</v>
      </c>
      <c r="M6" s="57">
        <f ca="1">VLOOKUP(A6,INDIRECT('LOCCS Import'!$R$3&amp;"$A$3"):INDIRECT('LOCCS Import'!$R$3&amp;"$O$54"),7,)</f>
        <v>3.92</v>
      </c>
      <c r="N6" s="57">
        <f ca="1">VLOOKUP(A6,INDIRECT('LOCCS Import'!$Q$3&amp;"$A$3"):INDIRECT('LOCCS Import'!$Q$3&amp;"$O$54"),7,)</f>
        <v>3.8</v>
      </c>
      <c r="O6" s="57">
        <f ca="1">VLOOKUP(A6,INDIRECT('LOCCS Import'!$P$3&amp;"$A$3"):INDIRECT('LOCCS Import'!$P$3&amp;"$O$54"),7,)</f>
        <v>3.8</v>
      </c>
      <c r="P6" s="57">
        <f ca="1">VLOOKUP(A6,INDIRECT('LOCCS Import'!$O$3&amp;"$A$3"):INDIRECT('LOCCS Import'!$O$3&amp;"$O$54"),7,)</f>
        <v>3.5</v>
      </c>
      <c r="Q6" s="57">
        <f ca="1">VLOOKUP(A6,INDIRECT('LOCCS Import'!$N$3&amp;"$A$3"):INDIRECT('LOCCS Import'!$N$3&amp;"$O$54"),7,)</f>
        <v>3.43</v>
      </c>
      <c r="R6" s="57">
        <f ca="1">VLOOKUP(A6,INDIRECT('LOCCS Import'!$M$3&amp;"$A$3"):INDIRECT('LOCCS Import'!$M$3&amp;"$O$54"),7,)</f>
        <v>3.32</v>
      </c>
      <c r="S6" s="57">
        <f ca="1">VLOOKUP(A6,INDIRECT('LOCCS Import'!$L$3&amp;"$A$3"):INDIRECT('LOCCS Import'!$L$3&amp;"$O$54"),7,)</f>
        <v>3.22</v>
      </c>
      <c r="T6" s="57">
        <f ca="1">VLOOKUP(A6,INDIRECT('LOCCS Import'!$K$3&amp;"$A$3"):INDIRECT('LOCCS Import'!$K$3&amp;"$O$54"),7,)</f>
        <v>2.98</v>
      </c>
      <c r="U6" s="57">
        <f ca="1">VLOOKUP(A6,INDIRECT('LOCCS Import'!$J$3&amp;"$A$3"):INDIRECT('LOCCS Import'!$J$3&amp;"$O$54"),7,)</f>
        <v>2.9</v>
      </c>
      <c r="V6" s="57">
        <f ca="1">VLOOKUP(A6,INDIRECT('LOCCS Import'!$I$3&amp;"$A$3"):INDIRECT('LOCCS Import'!$I$3&amp;"$O$54"),7,)</f>
        <v>2.4300000000000002</v>
      </c>
      <c r="W6" s="57">
        <f ca="1">VLOOKUP(A6,INDIRECT('LOCCS Import'!$H$3&amp;"$A$3"):INDIRECT('LOCCS Import'!$H$3&amp;"$O$54"),7,)</f>
        <v>2.4</v>
      </c>
      <c r="X6" s="57">
        <f ca="1">VLOOKUP(A6,INDIRECT('LOCCS Import'!$G$3&amp;"$A$3"):INDIRECT('LOCCS Import'!$G$3&amp;"$O$54"),7,)</f>
        <v>2.37</v>
      </c>
      <c r="Y6" s="57">
        <f ca="1">VLOOKUP(A6,INDIRECT('LOCCS Import'!$F$3&amp;"$A$3"):INDIRECT('LOCCS Import'!$F$3&amp;"$O$54"),7,)</f>
        <v>2.2799999999999998</v>
      </c>
      <c r="Z6" s="57">
        <f ca="1">VLOOKUP(A6,INDIRECT('LOCCS Import'!$E$3&amp;"$A$3"):INDIRECT('LOCCS Import'!$E$3&amp;"$O$54"),7,)</f>
        <v>3.08</v>
      </c>
      <c r="AA6" s="57">
        <f>VLOOKUP(A6,template!$A$3:$P$54,7,)</f>
        <v>2.99</v>
      </c>
      <c r="AB6" s="55">
        <f t="shared" ca="1" si="0"/>
        <v>3.5</v>
      </c>
      <c r="AC6" s="57">
        <f t="shared" ca="1" si="1"/>
        <v>2.2799999999999998</v>
      </c>
      <c r="AD6" s="58">
        <f t="shared" ca="1" si="2"/>
        <v>2.9083333333333332</v>
      </c>
      <c r="AE6" s="80">
        <f t="shared" ca="1" si="3"/>
        <v>25</v>
      </c>
      <c r="AF6" s="127"/>
      <c r="AG6" s="3">
        <f ca="1">VLOOKUP(A6,INDIRECT('LOCCS Import'!$AA$3&amp;"$A$3"):INDIRECT('LOCCS Import'!$AA$3&amp;"$O$54"),8,)</f>
        <v>0.82</v>
      </c>
      <c r="AH6" s="1">
        <f ca="1">VLOOKUP(A6,INDIRECT('LOCCS Import'!$Z$3&amp;"$A$3"):INDIRECT('LOCCS Import'!$Z$3&amp;"$O$54"),8,)</f>
        <v>0.77</v>
      </c>
      <c r="AI6" s="1">
        <f ca="1">VLOOKUP(A6,INDIRECT('LOCCS Import'!$Y$3&amp;"$A$3"):INDIRECT('LOCCS Import'!$Y$3&amp;"$O$54"),8,)</f>
        <v>0.75</v>
      </c>
      <c r="AJ6" s="1">
        <f ca="1">VLOOKUP(A6,INDIRECT('LOCCS Import'!$X$3&amp;"$A$3"):INDIRECT('LOCCS Import'!$X$3&amp;"$O$54"),8,)</f>
        <v>0.76</v>
      </c>
      <c r="AK6" s="1">
        <f ca="1">VLOOKUP(A6,INDIRECT('LOCCS Import'!$W$3&amp;"$A$3"):INDIRECT('LOCCS Import'!$W$3&amp;"$O$54"),8,)</f>
        <v>0.9</v>
      </c>
      <c r="AL6" s="1">
        <f ca="1">VLOOKUP(A6,INDIRECT('LOCCS Import'!$V$3&amp;"$A$3"):INDIRECT('LOCCS Import'!$V$3&amp;"$O$54"),8,)</f>
        <v>0.87</v>
      </c>
      <c r="AM6" s="1">
        <f ca="1">VLOOKUP(A6,INDIRECT('LOCCS Import'!$U$3&amp;"$A$3"):INDIRECT('LOCCS Import'!$U$3&amp;"$O$54"),8,)</f>
        <v>1.08</v>
      </c>
      <c r="AN6" s="1">
        <f ca="1">VLOOKUP(A6,INDIRECT('LOCCS Import'!$T$3&amp;"$A$3"):INDIRECT('LOCCS Import'!$T$3&amp;"$O$54"),8,)</f>
        <v>1.06</v>
      </c>
      <c r="AO6" s="1">
        <f ca="1">VLOOKUP(A6,INDIRECT('LOCCS Import'!$S$3&amp;"$A$3"):INDIRECT('LOCCS Import'!$S$3&amp;"$O$54"),8,)</f>
        <v>1.1100000000000001</v>
      </c>
      <c r="AP6" s="1">
        <f ca="1">VLOOKUP(A6,INDIRECT('LOCCS Import'!$R$3&amp;"$A$3"):INDIRECT('LOCCS Import'!$R$3&amp;"$O$54"),8,)</f>
        <v>1.1200000000000001</v>
      </c>
      <c r="AQ6" s="1">
        <f ca="1">VLOOKUP(A6,INDIRECT('LOCCS Import'!$Q$3&amp;"$A$3"):INDIRECT('LOCCS Import'!$Q$3&amp;"$O$54"),8,)</f>
        <v>1.17</v>
      </c>
      <c r="AR6" s="1">
        <f ca="1">VLOOKUP(A6,INDIRECT('LOCCS Import'!$P$3&amp;"$A$3"):INDIRECT('LOCCS Import'!$P$3&amp;"$O$54"),8,)</f>
        <v>1.17</v>
      </c>
      <c r="AS6" s="1">
        <f ca="1">VLOOKUP(A6,INDIRECT('LOCCS Import'!$O$3&amp;"$A$3"):INDIRECT('LOCCS Import'!$O$3&amp;"$O$54"),8,)</f>
        <v>1.37</v>
      </c>
      <c r="AT6" s="1">
        <f ca="1">VLOOKUP(A6,INDIRECT('LOCCS Import'!$N$3&amp;"$A$3"):INDIRECT('LOCCS Import'!$N$3&amp;"$O$54"),8,)</f>
        <v>1.35</v>
      </c>
      <c r="AU6" s="1">
        <f ca="1">VLOOKUP(A6,INDIRECT('LOCCS Import'!$M$3&amp;"$A$3"):INDIRECT('LOCCS Import'!$M$3&amp;"$O$54"),8,)</f>
        <v>1.39</v>
      </c>
      <c r="AV6" s="1">
        <f ca="1">VLOOKUP(A6,INDIRECT('LOCCS Import'!$L$3&amp;"$A$3"):INDIRECT('LOCCS Import'!$L$3&amp;"$O$54"),8,)</f>
        <v>1.37</v>
      </c>
      <c r="AW6" s="1">
        <f ca="1">VLOOKUP(A6,INDIRECT('LOCCS Import'!$K$3&amp;"$A$3"):INDIRECT('LOCCS Import'!$K$3&amp;"$O$54"),8,)</f>
        <v>1.4</v>
      </c>
      <c r="AX6" s="1">
        <f ca="1">VLOOKUP(A6,INDIRECT('LOCCS Import'!$J$3&amp;"$A$3"):INDIRECT('LOCCS Import'!$J$3&amp;"$O$54"),8,)</f>
        <v>1.42</v>
      </c>
      <c r="AY6" s="1">
        <f ca="1">VLOOKUP(A6,INDIRECT('LOCCS Import'!$I$3&amp;"$A$3"):INDIRECT('LOCCS Import'!$I$3&amp;"$O$54"),8,)</f>
        <v>1.66</v>
      </c>
      <c r="AZ6" s="1">
        <f ca="1">VLOOKUP(A6,INDIRECT('LOCCS Import'!$H$3&amp;"$A$3"):INDIRECT('LOCCS Import'!$H$3&amp;"$O$54"),8,)</f>
        <v>1.62</v>
      </c>
      <c r="BA6" s="1">
        <f ca="1">VLOOKUP(A6,INDIRECT('LOCCS Import'!$G$3&amp;"$A$3"):INDIRECT('LOCCS Import'!$G$3&amp;"$O$54"),8,)</f>
        <v>1.55</v>
      </c>
      <c r="BB6" s="1">
        <f ca="1">VLOOKUP(A6,INDIRECT('LOCCS Import'!$F$3&amp;"$A$3"):INDIRECT('LOCCS Import'!$F$3&amp;"$O$54"),8,)</f>
        <v>1.58</v>
      </c>
      <c r="BC6" s="1">
        <f ca="1">VLOOKUP(A6,INDIRECT('LOCCS Import'!$E$3&amp;"$A$3"):INDIRECT('LOCCS Import'!$E$3&amp;"$O$54"),8,)</f>
        <v>1.63</v>
      </c>
      <c r="BD6" s="2">
        <f>VLOOKUP(A6,template!$A$3:$P$54,8,)</f>
        <v>1.52</v>
      </c>
      <c r="BE6" s="2">
        <f t="shared" ca="1" si="4"/>
        <v>1.4883333333333335</v>
      </c>
      <c r="BF6" s="109">
        <f t="shared" ca="1" si="5"/>
        <v>2</v>
      </c>
    </row>
    <row r="7" spans="1:58" x14ac:dyDescent="0.3">
      <c r="A7" s="64" t="s">
        <v>34</v>
      </c>
      <c r="B7" s="61" t="s">
        <v>157</v>
      </c>
      <c r="C7" s="61" t="s">
        <v>160</v>
      </c>
      <c r="D7" s="57">
        <f ca="1">VLOOKUP(A7,INDIRECT('LOCCS Import'!$AA$3&amp;"$A$3"):INDIRECT('LOCCS Import'!$AA$3&amp;"$O$54"),7,)</f>
        <v>3.5</v>
      </c>
      <c r="E7" s="57">
        <f ca="1">VLOOKUP(A7,INDIRECT('LOCCS Import'!$Z$3&amp;"$A$3"):INDIRECT('LOCCS Import'!$Z$3&amp;"$O$54"),7,)</f>
        <v>3.49</v>
      </c>
      <c r="F7" s="57">
        <f ca="1">VLOOKUP(A7,INDIRECT('LOCCS Import'!$Y$3&amp;"$A$3"):INDIRECT('LOCCS Import'!$Y$3&amp;"$O$54"),7,)</f>
        <v>3.44</v>
      </c>
      <c r="G7" s="57">
        <f ca="1">VLOOKUP(A7,INDIRECT('LOCCS Import'!$X$3&amp;"$A$3"):INDIRECT('LOCCS Import'!$X$3&amp;"$O$54"),7,)</f>
        <v>3.32</v>
      </c>
      <c r="H7" s="57">
        <f ca="1">VLOOKUP(A7,INDIRECT('LOCCS Import'!$W$3&amp;"$A$3"):INDIRECT('LOCCS Import'!$W$3&amp;"$O$54"),7,)</f>
        <v>3.27</v>
      </c>
      <c r="I7" s="57">
        <f ca="1">VLOOKUP(A7,INDIRECT('LOCCS Import'!$V$3&amp;"$A$3"):INDIRECT('LOCCS Import'!$V$3&amp;"$O$54"),7,)</f>
        <v>3.23</v>
      </c>
      <c r="J7" s="57">
        <f ca="1">VLOOKUP(A7,INDIRECT('LOCCS Import'!$U$3&amp;"$A$3"):INDIRECT('LOCCS Import'!$U$3&amp;"$O$54"),7,)</f>
        <v>4.2699999999999996</v>
      </c>
      <c r="K7" s="57">
        <f ca="1">VLOOKUP(A7,INDIRECT('LOCCS Import'!$T$3&amp;"$A$3"):INDIRECT('LOCCS Import'!$T$3&amp;"$O$54"),7,)</f>
        <v>4.07</v>
      </c>
      <c r="L7" s="57">
        <f ca="1">VLOOKUP(A7,INDIRECT('LOCCS Import'!$S$3&amp;"$A$3"):INDIRECT('LOCCS Import'!$S$3&amp;"$O$54"),7,)</f>
        <v>4.04</v>
      </c>
      <c r="M7" s="57">
        <f ca="1">VLOOKUP(A7,INDIRECT('LOCCS Import'!$R$3&amp;"$A$3"):INDIRECT('LOCCS Import'!$R$3&amp;"$O$54"),7,)</f>
        <v>3.97</v>
      </c>
      <c r="N7" s="57">
        <f ca="1">VLOOKUP(A7,INDIRECT('LOCCS Import'!$Q$3&amp;"$A$3"):INDIRECT('LOCCS Import'!$Q$3&amp;"$O$54"),7,)</f>
        <v>3.83</v>
      </c>
      <c r="O7" s="57">
        <f ca="1">VLOOKUP(A7,INDIRECT('LOCCS Import'!$P$3&amp;"$A$3"):INDIRECT('LOCCS Import'!$P$3&amp;"$O$54"),7,)</f>
        <v>3.83</v>
      </c>
      <c r="P7" s="57">
        <f ca="1">VLOOKUP(A7,INDIRECT('LOCCS Import'!$O$3&amp;"$A$3"):INDIRECT('LOCCS Import'!$O$3&amp;"$O$54"),7,)</f>
        <v>3.68</v>
      </c>
      <c r="Q7" s="57">
        <f ca="1">VLOOKUP(A7,INDIRECT('LOCCS Import'!$N$3&amp;"$A$3"):INDIRECT('LOCCS Import'!$N$3&amp;"$O$54"),7,)</f>
        <v>3.64</v>
      </c>
      <c r="R7" s="57">
        <f ca="1">VLOOKUP(A7,INDIRECT('LOCCS Import'!$M$3&amp;"$A$3"):INDIRECT('LOCCS Import'!$M$3&amp;"$O$54"),7,)</f>
        <v>3.55</v>
      </c>
      <c r="S7" s="57">
        <f ca="1">VLOOKUP(A7,INDIRECT('LOCCS Import'!$L$3&amp;"$A$3"):INDIRECT('LOCCS Import'!$L$3&amp;"$O$54"),7,)</f>
        <v>3.44</v>
      </c>
      <c r="T7" s="57">
        <f ca="1">VLOOKUP(A7,INDIRECT('LOCCS Import'!$K$3&amp;"$A$3"):INDIRECT('LOCCS Import'!$K$3&amp;"$O$54"),7,)</f>
        <v>4.41</v>
      </c>
      <c r="U7" s="57">
        <f ca="1">VLOOKUP(A7,INDIRECT('LOCCS Import'!$J$3&amp;"$A$3"):INDIRECT('LOCCS Import'!$J$3&amp;"$O$54"),7,)</f>
        <v>4.29</v>
      </c>
      <c r="V7" s="57">
        <f ca="1">VLOOKUP(A7,INDIRECT('LOCCS Import'!$I$3&amp;"$A$3"):INDIRECT('LOCCS Import'!$I$3&amp;"$O$54"),7,)</f>
        <v>4.1100000000000003</v>
      </c>
      <c r="W7" s="57">
        <f ca="1">VLOOKUP(A7,INDIRECT('LOCCS Import'!$H$3&amp;"$A$3"):INDIRECT('LOCCS Import'!$H$3&amp;"$O$54"),7,)</f>
        <v>3.9</v>
      </c>
      <c r="X7" s="57">
        <f ca="1">VLOOKUP(A7,INDIRECT('LOCCS Import'!$G$3&amp;"$A$3"):INDIRECT('LOCCS Import'!$G$3&amp;"$O$54"),7,)</f>
        <v>3.8</v>
      </c>
      <c r="Y7" s="57">
        <f ca="1">VLOOKUP(A7,INDIRECT('LOCCS Import'!$F$3&amp;"$A$3"):INDIRECT('LOCCS Import'!$F$3&amp;"$O$54"),7,)</f>
        <v>3.51</v>
      </c>
      <c r="Z7" s="57">
        <f ca="1">VLOOKUP(A7,INDIRECT('LOCCS Import'!$E$3&amp;"$A$3"):INDIRECT('LOCCS Import'!$E$3&amp;"$O$54"),7,)</f>
        <v>3.3</v>
      </c>
      <c r="AA7" s="57">
        <f>VLOOKUP(A7,template!$A$3:$P$54,7,)</f>
        <v>3.14</v>
      </c>
      <c r="AB7" s="55">
        <f t="shared" ca="1" si="0"/>
        <v>4.41</v>
      </c>
      <c r="AC7" s="57">
        <f t="shared" ca="1" si="1"/>
        <v>3.14</v>
      </c>
      <c r="AD7" s="58">
        <f t="shared" ca="1" si="2"/>
        <v>3.7308333333333326</v>
      </c>
      <c r="AE7" s="80">
        <f t="shared" ca="1" si="3"/>
        <v>36</v>
      </c>
      <c r="AF7" s="127"/>
      <c r="AG7" s="3">
        <f ca="1">VLOOKUP(A7,INDIRECT('LOCCS Import'!$AA$3&amp;"$A$3"):INDIRECT('LOCCS Import'!$AA$3&amp;"$O$54"),8,)</f>
        <v>1.06</v>
      </c>
      <c r="AH7" s="1">
        <f ca="1">VLOOKUP(A7,INDIRECT('LOCCS Import'!$Z$3&amp;"$A$3"):INDIRECT('LOCCS Import'!$Z$3&amp;"$O$54"),8,)</f>
        <v>1.05</v>
      </c>
      <c r="AI7" s="1">
        <f ca="1">VLOOKUP(A7,INDIRECT('LOCCS Import'!$Y$3&amp;"$A$3"):INDIRECT('LOCCS Import'!$Y$3&amp;"$O$54"),8,)</f>
        <v>0.96</v>
      </c>
      <c r="AJ7" s="1">
        <f ca="1">VLOOKUP(A7,INDIRECT('LOCCS Import'!$X$3&amp;"$A$3"):INDIRECT('LOCCS Import'!$X$3&amp;"$O$54"),8,)</f>
        <v>0.93</v>
      </c>
      <c r="AK7" s="1">
        <f ca="1">VLOOKUP(A7,INDIRECT('LOCCS Import'!$W$3&amp;"$A$3"):INDIRECT('LOCCS Import'!$W$3&amp;"$O$54"),8,)</f>
        <v>0.73</v>
      </c>
      <c r="AL7" s="1">
        <f ca="1">VLOOKUP(A7,INDIRECT('LOCCS Import'!$V$3&amp;"$A$3"):INDIRECT('LOCCS Import'!$V$3&amp;"$O$54"),8,)</f>
        <v>0.64</v>
      </c>
      <c r="AM7" s="1">
        <f ca="1">VLOOKUP(A7,INDIRECT('LOCCS Import'!$U$3&amp;"$A$3"):INDIRECT('LOCCS Import'!$U$3&amp;"$O$54"),8,)</f>
        <v>0.64</v>
      </c>
      <c r="AN7" s="1">
        <f ca="1">VLOOKUP(A7,INDIRECT('LOCCS Import'!$T$3&amp;"$A$3"):INDIRECT('LOCCS Import'!$T$3&amp;"$O$54"),8,)</f>
        <v>0.8</v>
      </c>
      <c r="AO7" s="1">
        <f ca="1">VLOOKUP(A7,INDIRECT('LOCCS Import'!$S$3&amp;"$A$3"):INDIRECT('LOCCS Import'!$S$3&amp;"$O$54"),8,)</f>
        <v>0.8</v>
      </c>
      <c r="AP7" s="1">
        <f ca="1">VLOOKUP(A7,INDIRECT('LOCCS Import'!$R$3&amp;"$A$3"):INDIRECT('LOCCS Import'!$R$3&amp;"$O$54"),8,)</f>
        <v>0.83</v>
      </c>
      <c r="AQ7" s="1">
        <f ca="1">VLOOKUP(A7,INDIRECT('LOCCS Import'!$Q$3&amp;"$A$3"):INDIRECT('LOCCS Import'!$Q$3&amp;"$O$54"),8,)</f>
        <v>0.92</v>
      </c>
      <c r="AR7" s="1">
        <f ca="1">VLOOKUP(A7,INDIRECT('LOCCS Import'!$P$3&amp;"$A$3"):INDIRECT('LOCCS Import'!$P$3&amp;"$O$54"),8,)</f>
        <v>0.92</v>
      </c>
      <c r="AS7" s="1">
        <f ca="1">VLOOKUP(A7,INDIRECT('LOCCS Import'!$O$3&amp;"$A$3"):INDIRECT('LOCCS Import'!$O$3&amp;"$O$54"),8,)</f>
        <v>0.94</v>
      </c>
      <c r="AT7" s="1">
        <f ca="1">VLOOKUP(A7,INDIRECT('LOCCS Import'!$N$3&amp;"$A$3"):INDIRECT('LOCCS Import'!$N$3&amp;"$O$54"),8,)</f>
        <v>0.97</v>
      </c>
      <c r="AU7" s="1">
        <f ca="1">VLOOKUP(A7,INDIRECT('LOCCS Import'!$M$3&amp;"$A$3"):INDIRECT('LOCCS Import'!$M$3&amp;"$O$54"),8,)</f>
        <v>1.01</v>
      </c>
      <c r="AV7" s="1">
        <f ca="1">VLOOKUP(A7,INDIRECT('LOCCS Import'!$L$3&amp;"$A$3"):INDIRECT('LOCCS Import'!$L$3&amp;"$O$54"),8,)</f>
        <v>0.99</v>
      </c>
      <c r="AW7" s="1">
        <f ca="1">VLOOKUP(A7,INDIRECT('LOCCS Import'!$K$3&amp;"$A$3"):INDIRECT('LOCCS Import'!$K$3&amp;"$O$54"),8,)</f>
        <v>1.02</v>
      </c>
      <c r="AX7" s="1">
        <f ca="1">VLOOKUP(A7,INDIRECT('LOCCS Import'!$J$3&amp;"$A$3"):INDIRECT('LOCCS Import'!$J$3&amp;"$O$54"),8,)</f>
        <v>1.0900000000000001</v>
      </c>
      <c r="AY7" s="1">
        <f ca="1">VLOOKUP(A7,INDIRECT('LOCCS Import'!$I$3&amp;"$A$3"):INDIRECT('LOCCS Import'!$I$3&amp;"$O$54"),8,)</f>
        <v>1.21</v>
      </c>
      <c r="AZ7" s="1">
        <f ca="1">VLOOKUP(A7,INDIRECT('LOCCS Import'!$H$3&amp;"$A$3"):INDIRECT('LOCCS Import'!$H$3&amp;"$O$54"),8,)</f>
        <v>1.21</v>
      </c>
      <c r="BA7" s="1">
        <f ca="1">VLOOKUP(A7,INDIRECT('LOCCS Import'!$G$3&amp;"$A$3"):INDIRECT('LOCCS Import'!$G$3&amp;"$O$54"),8,)</f>
        <v>1.28</v>
      </c>
      <c r="BB7" s="1">
        <f ca="1">VLOOKUP(A7,INDIRECT('LOCCS Import'!$F$3&amp;"$A$3"):INDIRECT('LOCCS Import'!$F$3&amp;"$O$54"),8,)</f>
        <v>1.28</v>
      </c>
      <c r="BC7" s="1">
        <f ca="1">VLOOKUP(A7,INDIRECT('LOCCS Import'!$E$3&amp;"$A$3"):INDIRECT('LOCCS Import'!$E$3&amp;"$O$54"),8,)</f>
        <v>1.57</v>
      </c>
      <c r="BD7" s="2">
        <f>VLOOKUP(A7,template!$A$3:$P$54,8,)</f>
        <v>1.6</v>
      </c>
      <c r="BE7" s="2">
        <f t="shared" ca="1" si="4"/>
        <v>1.1808333333333332</v>
      </c>
      <c r="BF7" s="109">
        <f t="shared" ca="1" si="5"/>
        <v>9</v>
      </c>
    </row>
    <row r="8" spans="1:58" x14ac:dyDescent="0.3">
      <c r="A8" s="64" t="s">
        <v>36</v>
      </c>
      <c r="B8" s="61" t="s">
        <v>155</v>
      </c>
      <c r="C8" s="61" t="s">
        <v>161</v>
      </c>
      <c r="D8" s="57">
        <f ca="1">VLOOKUP(A8,INDIRECT('LOCCS Import'!$AA$3&amp;"$A$3"):INDIRECT('LOCCS Import'!$AA$3&amp;"$O$54"),7,)</f>
        <v>3.42</v>
      </c>
      <c r="E8" s="57">
        <f ca="1">VLOOKUP(A8,INDIRECT('LOCCS Import'!$Z$3&amp;"$A$3"):INDIRECT('LOCCS Import'!$Z$3&amp;"$O$54"),7,)</f>
        <v>3.27</v>
      </c>
      <c r="F8" s="57">
        <f ca="1">VLOOKUP(A8,INDIRECT('LOCCS Import'!$Y$3&amp;"$A$3"):INDIRECT('LOCCS Import'!$Y$3&amp;"$O$54"),7,)</f>
        <v>3.25</v>
      </c>
      <c r="G8" s="57">
        <f ca="1">VLOOKUP(A8,INDIRECT('LOCCS Import'!$X$3&amp;"$A$3"):INDIRECT('LOCCS Import'!$X$3&amp;"$O$54"),7,)</f>
        <v>3.24</v>
      </c>
      <c r="H8" s="57">
        <f ca="1">VLOOKUP(A8,INDIRECT('LOCCS Import'!$W$3&amp;"$A$3"):INDIRECT('LOCCS Import'!$W$3&amp;"$O$54"),7,)</f>
        <v>3.23</v>
      </c>
      <c r="I8" s="57">
        <f ca="1">VLOOKUP(A8,INDIRECT('LOCCS Import'!$V$3&amp;"$A$3"):INDIRECT('LOCCS Import'!$V$3&amp;"$O$54"),7,)</f>
        <v>2.85</v>
      </c>
      <c r="J8" s="57">
        <f ca="1">VLOOKUP(A8,INDIRECT('LOCCS Import'!$U$3&amp;"$A$3"):INDIRECT('LOCCS Import'!$U$3&amp;"$O$54"),7,)</f>
        <v>2.82</v>
      </c>
      <c r="K8" s="57">
        <f ca="1">VLOOKUP(A8,INDIRECT('LOCCS Import'!$T$3&amp;"$A$3"):INDIRECT('LOCCS Import'!$T$3&amp;"$O$54"),7,)</f>
        <v>3.58</v>
      </c>
      <c r="L8" s="57">
        <f ca="1">VLOOKUP(A8,INDIRECT('LOCCS Import'!$S$3&amp;"$A$3"):INDIRECT('LOCCS Import'!$S$3&amp;"$O$54"),7,)</f>
        <v>2.92</v>
      </c>
      <c r="M8" s="57">
        <f ca="1">VLOOKUP(A8,INDIRECT('LOCCS Import'!$R$3&amp;"$A$3"):INDIRECT('LOCCS Import'!$R$3&amp;"$O$54"),7,)</f>
        <v>2.89</v>
      </c>
      <c r="N8" s="57">
        <f ca="1">VLOOKUP(A8,INDIRECT('LOCCS Import'!$Q$3&amp;"$A$3"):INDIRECT('LOCCS Import'!$Q$3&amp;"$O$54"),7,)</f>
        <v>2.82</v>
      </c>
      <c r="O8" s="57">
        <f ca="1">VLOOKUP(A8,INDIRECT('LOCCS Import'!$P$3&amp;"$A$3"):INDIRECT('LOCCS Import'!$P$3&amp;"$O$54"),7,)</f>
        <v>2.82</v>
      </c>
      <c r="P8" s="57">
        <f ca="1">VLOOKUP(A8,INDIRECT('LOCCS Import'!$O$3&amp;"$A$3"):INDIRECT('LOCCS Import'!$O$3&amp;"$O$54"),7,)</f>
        <v>2.77</v>
      </c>
      <c r="Q8" s="57">
        <f ca="1">VLOOKUP(A8,INDIRECT('LOCCS Import'!$N$3&amp;"$A$3"):INDIRECT('LOCCS Import'!$N$3&amp;"$O$54"),7,)</f>
        <v>2.77</v>
      </c>
      <c r="R8" s="57">
        <f ca="1">VLOOKUP(A8,INDIRECT('LOCCS Import'!$M$3&amp;"$A$3"):INDIRECT('LOCCS Import'!$M$3&amp;"$O$54"),7,)</f>
        <v>2.85</v>
      </c>
      <c r="S8" s="57">
        <f ca="1">VLOOKUP(A8,INDIRECT('LOCCS Import'!$L$3&amp;"$A$3"):INDIRECT('LOCCS Import'!$L$3&amp;"$O$54"),7,)</f>
        <v>2.75</v>
      </c>
      <c r="T8" s="57">
        <f ca="1">VLOOKUP(A8,INDIRECT('LOCCS Import'!$K$3&amp;"$A$3"):INDIRECT('LOCCS Import'!$K$3&amp;"$O$54"),7,)</f>
        <v>2.8</v>
      </c>
      <c r="U8" s="57">
        <f ca="1">VLOOKUP(A8,INDIRECT('LOCCS Import'!$J$3&amp;"$A$3"):INDIRECT('LOCCS Import'!$J$3&amp;"$O$54"),7,)</f>
        <v>2.77</v>
      </c>
      <c r="V8" s="57">
        <f ca="1">VLOOKUP(A8,INDIRECT('LOCCS Import'!$I$3&amp;"$A$3"):INDIRECT('LOCCS Import'!$I$3&amp;"$O$54"),7,)</f>
        <v>2.76</v>
      </c>
      <c r="W8" s="57">
        <f ca="1">VLOOKUP(A8,INDIRECT('LOCCS Import'!$H$3&amp;"$A$3"):INDIRECT('LOCCS Import'!$H$3&amp;"$O$54"),7,)</f>
        <v>2.8</v>
      </c>
      <c r="X8" s="57">
        <f ca="1">VLOOKUP(A8,INDIRECT('LOCCS Import'!$G$3&amp;"$A$3"):INDIRECT('LOCCS Import'!$G$3&amp;"$O$54"),7,)</f>
        <v>2.79</v>
      </c>
      <c r="Y8" s="57">
        <f ca="1">VLOOKUP(A8,INDIRECT('LOCCS Import'!$F$3&amp;"$A$3"):INDIRECT('LOCCS Import'!$F$3&amp;"$O$54"),7,)</f>
        <v>2.74</v>
      </c>
      <c r="Z8" s="57">
        <f ca="1">VLOOKUP(A8,INDIRECT('LOCCS Import'!$E$3&amp;"$A$3"):INDIRECT('LOCCS Import'!$E$3&amp;"$O$54"),7,)</f>
        <v>3.45</v>
      </c>
      <c r="AA8" s="57">
        <f>VLOOKUP(A8,template!$A$3:$P$54,7,)</f>
        <v>3.43</v>
      </c>
      <c r="AB8" s="55">
        <f t="shared" ca="1" si="0"/>
        <v>3.45</v>
      </c>
      <c r="AC8" s="57">
        <f t="shared" ca="1" si="1"/>
        <v>2.74</v>
      </c>
      <c r="AD8" s="58">
        <f t="shared" ca="1" si="2"/>
        <v>2.89</v>
      </c>
      <c r="AE8" s="80">
        <f t="shared" ca="1" si="3"/>
        <v>23</v>
      </c>
      <c r="AF8" s="127"/>
      <c r="AG8" s="3">
        <f ca="1">VLOOKUP(A8,INDIRECT('LOCCS Import'!$AA$3&amp;"$A$3"):INDIRECT('LOCCS Import'!$AA$3&amp;"$O$54"),8,)</f>
        <v>0.74</v>
      </c>
      <c r="AH8" s="1">
        <f ca="1">VLOOKUP(A8,INDIRECT('LOCCS Import'!$Z$3&amp;"$A$3"):INDIRECT('LOCCS Import'!$Z$3&amp;"$O$54"),8,)</f>
        <v>0.8</v>
      </c>
      <c r="AI8" s="1">
        <f ca="1">VLOOKUP(A8,INDIRECT('LOCCS Import'!$Y$3&amp;"$A$3"):INDIRECT('LOCCS Import'!$Y$3&amp;"$O$54"),8,)</f>
        <v>0.81</v>
      </c>
      <c r="AJ8" s="1">
        <f ca="1">VLOOKUP(A8,INDIRECT('LOCCS Import'!$X$3&amp;"$A$3"):INDIRECT('LOCCS Import'!$X$3&amp;"$O$54"),8,)</f>
        <v>0.8</v>
      </c>
      <c r="AK8" s="1">
        <f ca="1">VLOOKUP(A8,INDIRECT('LOCCS Import'!$W$3&amp;"$A$3"):INDIRECT('LOCCS Import'!$W$3&amp;"$O$54"),8,)</f>
        <v>0.8</v>
      </c>
      <c r="AL8" s="1">
        <f ca="1">VLOOKUP(A8,INDIRECT('LOCCS Import'!$V$3&amp;"$A$3"):INDIRECT('LOCCS Import'!$V$3&amp;"$O$54"),8,)</f>
        <v>1.08</v>
      </c>
      <c r="AM8" s="1">
        <f ca="1">VLOOKUP(A8,INDIRECT('LOCCS Import'!$U$3&amp;"$A$3"):INDIRECT('LOCCS Import'!$U$3&amp;"$O$54"),8,)</f>
        <v>1.06</v>
      </c>
      <c r="AN8" s="1">
        <f ca="1">VLOOKUP(A8,INDIRECT('LOCCS Import'!$T$3&amp;"$A$3"):INDIRECT('LOCCS Import'!$T$3&amp;"$O$54"),8,)</f>
        <v>1.28</v>
      </c>
      <c r="AO8" s="1">
        <f ca="1">VLOOKUP(A8,INDIRECT('LOCCS Import'!$S$3&amp;"$A$3"):INDIRECT('LOCCS Import'!$S$3&amp;"$O$54"),8,)</f>
        <v>1.93</v>
      </c>
      <c r="AP8" s="1">
        <f ca="1">VLOOKUP(A8,INDIRECT('LOCCS Import'!$R$3&amp;"$A$3"):INDIRECT('LOCCS Import'!$R$3&amp;"$O$54"),8,)</f>
        <v>1.81</v>
      </c>
      <c r="AQ8" s="1">
        <f ca="1">VLOOKUP(A8,INDIRECT('LOCCS Import'!$Q$3&amp;"$A$3"):INDIRECT('LOCCS Import'!$Q$3&amp;"$O$54"),8,)</f>
        <v>1.81</v>
      </c>
      <c r="AR8" s="1">
        <f ca="1">VLOOKUP(A8,INDIRECT('LOCCS Import'!$P$3&amp;"$A$3"):INDIRECT('LOCCS Import'!$P$3&amp;"$O$54"),8,)</f>
        <v>1.81</v>
      </c>
      <c r="AS8" s="1">
        <f ca="1">VLOOKUP(A8,INDIRECT('LOCCS Import'!$O$3&amp;"$A$3"):INDIRECT('LOCCS Import'!$O$3&amp;"$O$54"),8,)</f>
        <v>1.66</v>
      </c>
      <c r="AT8" s="1">
        <f ca="1">VLOOKUP(A8,INDIRECT('LOCCS Import'!$N$3&amp;"$A$3"):INDIRECT('LOCCS Import'!$N$3&amp;"$O$54"),8,)</f>
        <v>1.5</v>
      </c>
      <c r="AU8" s="1">
        <f ca="1">VLOOKUP(A8,INDIRECT('LOCCS Import'!$M$3&amp;"$A$3"):INDIRECT('LOCCS Import'!$M$3&amp;"$O$54"),8,)</f>
        <v>1.56</v>
      </c>
      <c r="AV8" s="1">
        <f ca="1">VLOOKUP(A8,INDIRECT('LOCCS Import'!$L$3&amp;"$A$3"):INDIRECT('LOCCS Import'!$L$3&amp;"$O$54"),8,)</f>
        <v>1.66</v>
      </c>
      <c r="AW8" s="1">
        <f ca="1">VLOOKUP(A8,INDIRECT('LOCCS Import'!$K$3&amp;"$A$3"):INDIRECT('LOCCS Import'!$K$3&amp;"$O$54"),8,)</f>
        <v>1.73</v>
      </c>
      <c r="AX8" s="1">
        <f ca="1">VLOOKUP(A8,INDIRECT('LOCCS Import'!$J$3&amp;"$A$3"):INDIRECT('LOCCS Import'!$J$3&amp;"$O$54"),8,)</f>
        <v>1.38</v>
      </c>
      <c r="AY8" s="1">
        <f ca="1">VLOOKUP(A8,INDIRECT('LOCCS Import'!$I$3&amp;"$A$3"):INDIRECT('LOCCS Import'!$I$3&amp;"$O$54"),8,)</f>
        <v>1.36</v>
      </c>
      <c r="AZ8" s="1">
        <f ca="1">VLOOKUP(A8,INDIRECT('LOCCS Import'!$H$3&amp;"$A$3"):INDIRECT('LOCCS Import'!$H$3&amp;"$O$54"),8,)</f>
        <v>1.1599999999999999</v>
      </c>
      <c r="BA8" s="1">
        <f ca="1">VLOOKUP(A8,INDIRECT('LOCCS Import'!$G$3&amp;"$A$3"):INDIRECT('LOCCS Import'!$G$3&amp;"$O$54"),8,)</f>
        <v>0.51</v>
      </c>
      <c r="BB8" s="1">
        <f ca="1">VLOOKUP(A8,INDIRECT('LOCCS Import'!$F$3&amp;"$A$3"):INDIRECT('LOCCS Import'!$F$3&amp;"$O$54"),8,)</f>
        <v>0.53</v>
      </c>
      <c r="BC8" s="1">
        <f ca="1">VLOOKUP(A8,INDIRECT('LOCCS Import'!$E$3&amp;"$A$3"):INDIRECT('LOCCS Import'!$E$3&amp;"$O$54"),8,)</f>
        <v>0.68</v>
      </c>
      <c r="BD8" s="2">
        <f>VLOOKUP(A8,template!$A$3:$P$54,8,)</f>
        <v>0.7</v>
      </c>
      <c r="BE8" s="2">
        <f t="shared" ca="1" si="4"/>
        <v>1.2024999999999999</v>
      </c>
      <c r="BF8" s="109">
        <f t="shared" ca="1" si="5"/>
        <v>8</v>
      </c>
    </row>
    <row r="9" spans="1:58" x14ac:dyDescent="0.3">
      <c r="A9" s="64" t="s">
        <v>38</v>
      </c>
      <c r="B9" s="61" t="s">
        <v>157</v>
      </c>
      <c r="C9" s="61" t="s">
        <v>162</v>
      </c>
      <c r="D9" s="57">
        <f ca="1">VLOOKUP(A9,INDIRECT('LOCCS Import'!$AA$3&amp;"$A$3"):INDIRECT('LOCCS Import'!$AA$3&amp;"$O$54"),7,)</f>
        <v>3.08</v>
      </c>
      <c r="E9" s="57">
        <f ca="1">VLOOKUP(A9,INDIRECT('LOCCS Import'!$Z$3&amp;"$A$3"):INDIRECT('LOCCS Import'!$Z$3&amp;"$O$54"),7,)</f>
        <v>2.79</v>
      </c>
      <c r="F9" s="57">
        <f ca="1">VLOOKUP(A9,INDIRECT('LOCCS Import'!$Y$3&amp;"$A$3"):INDIRECT('LOCCS Import'!$Y$3&amp;"$O$54"),7,)</f>
        <v>2.66</v>
      </c>
      <c r="G9" s="57">
        <f ca="1">VLOOKUP(A9,INDIRECT('LOCCS Import'!$X$3&amp;"$A$3"):INDIRECT('LOCCS Import'!$X$3&amp;"$O$54"),7,)</f>
        <v>2.62</v>
      </c>
      <c r="H9" s="57">
        <f ca="1">VLOOKUP(A9,INDIRECT('LOCCS Import'!$W$3&amp;"$A$3"):INDIRECT('LOCCS Import'!$W$3&amp;"$O$54"),7,)</f>
        <v>3.62</v>
      </c>
      <c r="I9" s="57">
        <f ca="1">VLOOKUP(A9,INDIRECT('LOCCS Import'!$V$3&amp;"$A$3"):INDIRECT('LOCCS Import'!$V$3&amp;"$O$54"),7,)</f>
        <v>3.33</v>
      </c>
      <c r="J9" s="57">
        <f ca="1">VLOOKUP(A9,INDIRECT('LOCCS Import'!$U$3&amp;"$A$3"):INDIRECT('LOCCS Import'!$U$3&amp;"$O$54"),7,)</f>
        <v>3.33</v>
      </c>
      <c r="K9" s="57">
        <f ca="1">VLOOKUP(A9,INDIRECT('LOCCS Import'!$T$3&amp;"$A$3"):INDIRECT('LOCCS Import'!$T$3&amp;"$O$54"),7,)</f>
        <v>3.12</v>
      </c>
      <c r="L9" s="57">
        <f ca="1">VLOOKUP(A9,INDIRECT('LOCCS Import'!$S$3&amp;"$A$3"):INDIRECT('LOCCS Import'!$S$3&amp;"$O$54"),7,)</f>
        <v>3.12</v>
      </c>
      <c r="M9" s="57">
        <f ca="1">VLOOKUP(A9,INDIRECT('LOCCS Import'!$R$3&amp;"$A$3"):INDIRECT('LOCCS Import'!$R$3&amp;"$O$54"),7,)</f>
        <v>2.75</v>
      </c>
      <c r="N9" s="57">
        <f ca="1">VLOOKUP(A9,INDIRECT('LOCCS Import'!$Q$3&amp;"$A$3"):INDIRECT('LOCCS Import'!$Q$3&amp;"$O$54"),7,)</f>
        <v>2.75</v>
      </c>
      <c r="O9" s="57">
        <f ca="1">VLOOKUP(A9,INDIRECT('LOCCS Import'!$P$3&amp;"$A$3"):INDIRECT('LOCCS Import'!$P$3&amp;"$O$54"),7,)</f>
        <v>2.75</v>
      </c>
      <c r="P9" s="57">
        <f ca="1">VLOOKUP(A9,INDIRECT('LOCCS Import'!$O$3&amp;"$A$3"):INDIRECT('LOCCS Import'!$O$3&amp;"$O$54"),7,)</f>
        <v>2.75</v>
      </c>
      <c r="Q9" s="57">
        <f ca="1">VLOOKUP(A9,INDIRECT('LOCCS Import'!$N$3&amp;"$A$3"):INDIRECT('LOCCS Import'!$N$3&amp;"$O$54"),7,)</f>
        <v>2.62</v>
      </c>
      <c r="R9" s="57">
        <f ca="1">VLOOKUP(A9,INDIRECT('LOCCS Import'!$M$3&amp;"$A$3"):INDIRECT('LOCCS Import'!$M$3&amp;"$O$54"),7,)</f>
        <v>2.59</v>
      </c>
      <c r="S9" s="57">
        <f ca="1">VLOOKUP(A9,INDIRECT('LOCCS Import'!$L$3&amp;"$A$3"):INDIRECT('LOCCS Import'!$L$3&amp;"$O$54"),7,)</f>
        <v>2.5299999999999998</v>
      </c>
      <c r="T9" s="57">
        <f ca="1">VLOOKUP(A9,INDIRECT('LOCCS Import'!$K$3&amp;"$A$3"):INDIRECT('LOCCS Import'!$K$3&amp;"$O$54"),7,)</f>
        <v>2.5299999999999998</v>
      </c>
      <c r="U9" s="57">
        <f ca="1">VLOOKUP(A9,INDIRECT('LOCCS Import'!$J$3&amp;"$A$3"):INDIRECT('LOCCS Import'!$J$3&amp;"$O$54"),7,)</f>
        <v>2.41</v>
      </c>
      <c r="V9" s="57">
        <f ca="1">VLOOKUP(A9,INDIRECT('LOCCS Import'!$I$3&amp;"$A$3"):INDIRECT('LOCCS Import'!$I$3&amp;"$O$54"),7,)</f>
        <v>2.34</v>
      </c>
      <c r="W9" s="57">
        <f ca="1">VLOOKUP(A9,INDIRECT('LOCCS Import'!$H$3&amp;"$A$3"):INDIRECT('LOCCS Import'!$H$3&amp;"$O$54"),7,)</f>
        <v>3.33</v>
      </c>
      <c r="X9" s="57">
        <f ca="1">VLOOKUP(A9,INDIRECT('LOCCS Import'!$G$3&amp;"$A$3"):INDIRECT('LOCCS Import'!$G$3&amp;"$O$54"),7,)</f>
        <v>3.18</v>
      </c>
      <c r="Y9" s="57">
        <f ca="1">VLOOKUP(A9,INDIRECT('LOCCS Import'!$F$3&amp;"$A$3"):INDIRECT('LOCCS Import'!$F$3&amp;"$O$54"),7,)</f>
        <v>3.18</v>
      </c>
      <c r="Z9" s="57">
        <f ca="1">VLOOKUP(A9,INDIRECT('LOCCS Import'!$E$3&amp;"$A$3"):INDIRECT('LOCCS Import'!$E$3&amp;"$O$54"),7,)</f>
        <v>3.18</v>
      </c>
      <c r="AA9" s="57">
        <f>VLOOKUP(A9,template!$A$3:$P$54,7,)</f>
        <v>2.85</v>
      </c>
      <c r="AB9" s="55">
        <f t="shared" ca="1" si="0"/>
        <v>3.33</v>
      </c>
      <c r="AC9" s="57">
        <f t="shared" ca="1" si="1"/>
        <v>2.34</v>
      </c>
      <c r="AD9" s="58">
        <f t="shared" ca="1" si="2"/>
        <v>2.7908333333333335</v>
      </c>
      <c r="AE9" s="80">
        <f t="shared" ca="1" si="3"/>
        <v>22</v>
      </c>
      <c r="AF9" s="127"/>
      <c r="AG9" s="3">
        <f ca="1">VLOOKUP(A9,INDIRECT('LOCCS Import'!$AA$3&amp;"$A$3"):INDIRECT('LOCCS Import'!$AA$3&amp;"$O$54"),8,)</f>
        <v>0.86</v>
      </c>
      <c r="AH9" s="1">
        <f ca="1">VLOOKUP(A9,INDIRECT('LOCCS Import'!$Z$3&amp;"$A$3"):INDIRECT('LOCCS Import'!$Z$3&amp;"$O$54"),8,)</f>
        <v>0.68</v>
      </c>
      <c r="AI9" s="1">
        <f ca="1">VLOOKUP(A9,INDIRECT('LOCCS Import'!$Y$3&amp;"$A$3"):INDIRECT('LOCCS Import'!$Y$3&amp;"$O$54"),8,)</f>
        <v>1.1000000000000001</v>
      </c>
      <c r="AJ9" s="1">
        <f ca="1">VLOOKUP(A9,INDIRECT('LOCCS Import'!$X$3&amp;"$A$3"):INDIRECT('LOCCS Import'!$X$3&amp;"$O$54"),8,)</f>
        <v>1.1399999999999999</v>
      </c>
      <c r="AK9" s="1">
        <f ca="1">VLOOKUP(A9,INDIRECT('LOCCS Import'!$W$3&amp;"$A$3"):INDIRECT('LOCCS Import'!$W$3&amp;"$O$54"),8,)</f>
        <v>0.97</v>
      </c>
      <c r="AL9" s="1">
        <f ca="1">VLOOKUP(A9,INDIRECT('LOCCS Import'!$V$3&amp;"$A$3"):INDIRECT('LOCCS Import'!$V$3&amp;"$O$54"),8,)</f>
        <v>1.26</v>
      </c>
      <c r="AM9" s="1">
        <f ca="1">VLOOKUP(A9,INDIRECT('LOCCS Import'!$U$3&amp;"$A$3"):INDIRECT('LOCCS Import'!$U$3&amp;"$O$54"),8,)</f>
        <v>1.1599999999999999</v>
      </c>
      <c r="AN9" s="1">
        <f ca="1">VLOOKUP(A9,INDIRECT('LOCCS Import'!$T$3&amp;"$A$3"):INDIRECT('LOCCS Import'!$T$3&amp;"$O$54"),8,)</f>
        <v>1.19</v>
      </c>
      <c r="AO9" s="1">
        <f ca="1">VLOOKUP(A9,INDIRECT('LOCCS Import'!$S$3&amp;"$A$3"):INDIRECT('LOCCS Import'!$S$3&amp;"$O$54"),8,)</f>
        <v>1.19</v>
      </c>
      <c r="AP9" s="1">
        <f ca="1">VLOOKUP(A9,INDIRECT('LOCCS Import'!$R$3&amp;"$A$3"):INDIRECT('LOCCS Import'!$R$3&amp;"$O$54"),8,)</f>
        <v>1.56</v>
      </c>
      <c r="AQ9" s="1">
        <f ca="1">VLOOKUP(A9,INDIRECT('LOCCS Import'!$Q$3&amp;"$A$3"):INDIRECT('LOCCS Import'!$Q$3&amp;"$O$54"),8,)</f>
        <v>1.56</v>
      </c>
      <c r="AR9" s="1">
        <f ca="1">VLOOKUP(A9,INDIRECT('LOCCS Import'!$P$3&amp;"$A$3"):INDIRECT('LOCCS Import'!$P$3&amp;"$O$54"),8,)</f>
        <v>1.56</v>
      </c>
      <c r="AS9" s="1">
        <f ca="1">VLOOKUP(A9,INDIRECT('LOCCS Import'!$O$3&amp;"$A$3"):INDIRECT('LOCCS Import'!$O$3&amp;"$O$54"),8,)</f>
        <v>1.34</v>
      </c>
      <c r="AT9" s="1">
        <f ca="1">VLOOKUP(A9,INDIRECT('LOCCS Import'!$N$3&amp;"$A$3"):INDIRECT('LOCCS Import'!$N$3&amp;"$O$54"),8,)</f>
        <v>1.05</v>
      </c>
      <c r="AU9" s="1">
        <f ca="1">VLOOKUP(A9,INDIRECT('LOCCS Import'!$M$3&amp;"$A$3"):INDIRECT('LOCCS Import'!$M$3&amp;"$O$54"),8,)</f>
        <v>1.08</v>
      </c>
      <c r="AV9" s="1">
        <f ca="1">VLOOKUP(A9,INDIRECT('LOCCS Import'!$L$3&amp;"$A$3"):INDIRECT('LOCCS Import'!$L$3&amp;"$O$54"),8,)</f>
        <v>1.0900000000000001</v>
      </c>
      <c r="AW9" s="1">
        <f ca="1">VLOOKUP(A9,INDIRECT('LOCCS Import'!$K$3&amp;"$A$3"):INDIRECT('LOCCS Import'!$K$3&amp;"$O$54"),8,)</f>
        <v>1.0900000000000001</v>
      </c>
      <c r="AX9" s="1">
        <f ca="1">VLOOKUP(A9,INDIRECT('LOCCS Import'!$J$3&amp;"$A$3"):INDIRECT('LOCCS Import'!$J$3&amp;"$O$54"),8,)</f>
        <v>0.91</v>
      </c>
      <c r="AY9" s="1">
        <f ca="1">VLOOKUP(A9,INDIRECT('LOCCS Import'!$I$3&amp;"$A$3"):INDIRECT('LOCCS Import'!$I$3&amp;"$O$54"),8,)</f>
        <v>0.99</v>
      </c>
      <c r="AZ9" s="1">
        <f ca="1">VLOOKUP(A9,INDIRECT('LOCCS Import'!$H$3&amp;"$A$3"):INDIRECT('LOCCS Import'!$H$3&amp;"$O$54"),8,)</f>
        <v>0.78</v>
      </c>
      <c r="BA9" s="1">
        <f ca="1">VLOOKUP(A9,INDIRECT('LOCCS Import'!$G$3&amp;"$A$3"):INDIRECT('LOCCS Import'!$G$3&amp;"$O$54"),8,)</f>
        <v>0.93</v>
      </c>
      <c r="BB9" s="1">
        <f ca="1">VLOOKUP(A9,INDIRECT('LOCCS Import'!$F$3&amp;"$A$3"):INDIRECT('LOCCS Import'!$F$3&amp;"$O$54"),8,)</f>
        <v>0.56000000000000005</v>
      </c>
      <c r="BC9" s="1">
        <f ca="1">VLOOKUP(A9,INDIRECT('LOCCS Import'!$E$3&amp;"$A$3"):INDIRECT('LOCCS Import'!$E$3&amp;"$O$54"),8,)</f>
        <v>0.56000000000000005</v>
      </c>
      <c r="BD9" s="2">
        <f>VLOOKUP(A9,template!$A$3:$P$54,8,)</f>
        <v>0.88</v>
      </c>
      <c r="BE9" s="2">
        <f t="shared" ca="1" si="4"/>
        <v>0.93833333333333346</v>
      </c>
      <c r="BF9" s="109">
        <f t="shared" ca="1" si="5"/>
        <v>25</v>
      </c>
    </row>
    <row r="10" spans="1:58" x14ac:dyDescent="0.3">
      <c r="A10" s="64" t="s">
        <v>70</v>
      </c>
      <c r="B10" s="61" t="s">
        <v>157</v>
      </c>
      <c r="C10" s="61" t="s">
        <v>163</v>
      </c>
      <c r="D10" s="57">
        <f ca="1">VLOOKUP(A10,INDIRECT('LOCCS Import'!$AA$3&amp;"$A$3"):INDIRECT('LOCCS Import'!$AA$3&amp;"$O$54"),7,)</f>
        <v>0.84</v>
      </c>
      <c r="E10" s="57">
        <f ca="1">VLOOKUP(A10,INDIRECT('LOCCS Import'!$Z$3&amp;"$A$3"):INDIRECT('LOCCS Import'!$Z$3&amp;"$O$54"),7,)</f>
        <v>0.82</v>
      </c>
      <c r="F10" s="57">
        <f ca="1">VLOOKUP(A10,INDIRECT('LOCCS Import'!$Y$3&amp;"$A$3"):INDIRECT('LOCCS Import'!$Y$3&amp;"$O$54"),7,)</f>
        <v>0.79</v>
      </c>
      <c r="G10" s="57">
        <f ca="1">VLOOKUP(A10,INDIRECT('LOCCS Import'!$X$3&amp;"$A$3"):INDIRECT('LOCCS Import'!$X$3&amp;"$O$54"),7,)</f>
        <v>0.78</v>
      </c>
      <c r="H10" s="57">
        <f ca="1">VLOOKUP(A10,INDIRECT('LOCCS Import'!$W$3&amp;"$A$3"):INDIRECT('LOCCS Import'!$W$3&amp;"$O$54"),7,)</f>
        <v>0.65</v>
      </c>
      <c r="I10" s="57">
        <f ca="1">VLOOKUP(A10,INDIRECT('LOCCS Import'!$V$3&amp;"$A$3"):INDIRECT('LOCCS Import'!$V$3&amp;"$O$54"),7,)</f>
        <v>0.6</v>
      </c>
      <c r="J10" s="57">
        <f ca="1">VLOOKUP(A10,INDIRECT('LOCCS Import'!$U$3&amp;"$A$3"):INDIRECT('LOCCS Import'!$U$3&amp;"$O$54"),7,)</f>
        <v>0.48</v>
      </c>
      <c r="K10" s="57">
        <f ca="1">VLOOKUP(A10,INDIRECT('LOCCS Import'!$T$3&amp;"$A$3"):INDIRECT('LOCCS Import'!$T$3&amp;"$O$54"),7,)</f>
        <v>1.44</v>
      </c>
      <c r="L10" s="57">
        <f ca="1">VLOOKUP(A10,INDIRECT('LOCCS Import'!$S$3&amp;"$A$3"):INDIRECT('LOCCS Import'!$S$3&amp;"$O$54"),7,)</f>
        <v>1.35</v>
      </c>
      <c r="M10" s="57">
        <f ca="1">VLOOKUP(A10,INDIRECT('LOCCS Import'!$R$3&amp;"$A$3"):INDIRECT('LOCCS Import'!$R$3&amp;"$O$54"),7,)</f>
        <v>1.33</v>
      </c>
      <c r="N10" s="57">
        <f ca="1">VLOOKUP(A10,INDIRECT('LOCCS Import'!$Q$3&amp;"$A$3"):INDIRECT('LOCCS Import'!$Q$3&amp;"$O$54"),7,)</f>
        <v>1.32</v>
      </c>
      <c r="O10" s="57">
        <f ca="1">VLOOKUP(A10,INDIRECT('LOCCS Import'!$P$3&amp;"$A$3"):INDIRECT('LOCCS Import'!$P$3&amp;"$O$54"),7,)</f>
        <v>1.32</v>
      </c>
      <c r="P10" s="57">
        <f ca="1">VLOOKUP(A10,INDIRECT('LOCCS Import'!$O$3&amp;"$A$3"):INDIRECT('LOCCS Import'!$O$3&amp;"$O$54"),7,)</f>
        <v>1.17</v>
      </c>
      <c r="Q10" s="57">
        <f ca="1">VLOOKUP(A10,INDIRECT('LOCCS Import'!$N$3&amp;"$A$3"):INDIRECT('LOCCS Import'!$N$3&amp;"$O$54"),7,)</f>
        <v>0.91</v>
      </c>
      <c r="R10" s="57">
        <f ca="1">VLOOKUP(A10,INDIRECT('LOCCS Import'!$M$3&amp;"$A$3"):INDIRECT('LOCCS Import'!$M$3&amp;"$O$54"),7,)</f>
        <v>0.83</v>
      </c>
      <c r="S10" s="57">
        <f ca="1">VLOOKUP(A10,INDIRECT('LOCCS Import'!$L$3&amp;"$A$3"):INDIRECT('LOCCS Import'!$L$3&amp;"$O$54"),7,)</f>
        <v>0.73</v>
      </c>
      <c r="T10" s="57">
        <f ca="1">VLOOKUP(A10,INDIRECT('LOCCS Import'!$K$3&amp;"$A$3"):INDIRECT('LOCCS Import'!$K$3&amp;"$O$54"),7,)</f>
        <v>0.68</v>
      </c>
      <c r="U10" s="57">
        <f ca="1">VLOOKUP(A10,INDIRECT('LOCCS Import'!$J$3&amp;"$A$3"):INDIRECT('LOCCS Import'!$J$3&amp;"$O$54"),7,)</f>
        <v>0.68</v>
      </c>
      <c r="V10" s="57">
        <f ca="1">VLOOKUP(A10,INDIRECT('LOCCS Import'!$I$3&amp;"$A$3"):INDIRECT('LOCCS Import'!$I$3&amp;"$O$54"),7,)</f>
        <v>0.67</v>
      </c>
      <c r="W10" s="57">
        <f ca="1">VLOOKUP(A10,INDIRECT('LOCCS Import'!$H$3&amp;"$A$3"):INDIRECT('LOCCS Import'!$H$3&amp;"$O$54"),7,)</f>
        <v>0.46</v>
      </c>
      <c r="X10" s="57">
        <f ca="1">VLOOKUP(A10,INDIRECT('LOCCS Import'!$G$3&amp;"$A$3"):INDIRECT('LOCCS Import'!$G$3&amp;"$O$54"),7,)</f>
        <v>1.45</v>
      </c>
      <c r="Y10" s="57">
        <f ca="1">VLOOKUP(A10,INDIRECT('LOCCS Import'!$F$3&amp;"$A$3"):INDIRECT('LOCCS Import'!$F$3&amp;"$O$54"),7,)</f>
        <v>1.35</v>
      </c>
      <c r="Z10" s="57">
        <f ca="1">VLOOKUP(A10,INDIRECT('LOCCS Import'!$E$3&amp;"$A$3"):INDIRECT('LOCCS Import'!$E$3&amp;"$O$54"),7,)</f>
        <v>1.35</v>
      </c>
      <c r="AA10" s="57">
        <f>VLOOKUP(A10,template!$A$3:$P$54,7,)</f>
        <v>1.33</v>
      </c>
      <c r="AB10" s="55">
        <f t="shared" ca="1" si="0"/>
        <v>1.45</v>
      </c>
      <c r="AC10" s="57">
        <f t="shared" ca="1" si="1"/>
        <v>0.46</v>
      </c>
      <c r="AD10" s="58">
        <f t="shared" ca="1" si="2"/>
        <v>0.96749999999999992</v>
      </c>
      <c r="AE10" s="80">
        <f t="shared" ca="1" si="3"/>
        <v>1</v>
      </c>
      <c r="AF10" s="127"/>
      <c r="AG10" s="3">
        <f ca="1">VLOOKUP(A10,INDIRECT('LOCCS Import'!$AA$3&amp;"$A$3"):INDIRECT('LOCCS Import'!$AA$3&amp;"$O$54"),8,)</f>
        <v>0.87</v>
      </c>
      <c r="AH10" s="1">
        <f ca="1">VLOOKUP(A10,INDIRECT('LOCCS Import'!$Z$3&amp;"$A$3"):INDIRECT('LOCCS Import'!$Z$3&amp;"$O$54"),8,)</f>
        <v>0.89</v>
      </c>
      <c r="AI10" s="1">
        <f ca="1">VLOOKUP(A10,INDIRECT('LOCCS Import'!$Y$3&amp;"$A$3"):INDIRECT('LOCCS Import'!$Y$3&amp;"$O$54"),8,)</f>
        <v>0.75</v>
      </c>
      <c r="AJ10" s="1">
        <f ca="1">VLOOKUP(A10,INDIRECT('LOCCS Import'!$X$3&amp;"$A$3"):INDIRECT('LOCCS Import'!$X$3&amp;"$O$54"),8,)</f>
        <v>0.76</v>
      </c>
      <c r="AK10" s="1">
        <f ca="1">VLOOKUP(A10,INDIRECT('LOCCS Import'!$W$3&amp;"$A$3"):INDIRECT('LOCCS Import'!$W$3&amp;"$O$54"),8,)</f>
        <v>0.87</v>
      </c>
      <c r="AL10" s="1">
        <f ca="1">VLOOKUP(A10,INDIRECT('LOCCS Import'!$V$3&amp;"$A$3"):INDIRECT('LOCCS Import'!$V$3&amp;"$O$54"),8,)</f>
        <v>0.92</v>
      </c>
      <c r="AM10" s="1">
        <f ca="1">VLOOKUP(A10,INDIRECT('LOCCS Import'!$U$3&amp;"$A$3"):INDIRECT('LOCCS Import'!$U$3&amp;"$O$54"),8,)</f>
        <v>0.92</v>
      </c>
      <c r="AN10" s="1">
        <f ca="1">VLOOKUP(A10,INDIRECT('LOCCS Import'!$T$3&amp;"$A$3"):INDIRECT('LOCCS Import'!$T$3&amp;"$O$54"),8,)</f>
        <v>0.92</v>
      </c>
      <c r="AO10" s="1">
        <f ca="1">VLOOKUP(A10,INDIRECT('LOCCS Import'!$S$3&amp;"$A$3"):INDIRECT('LOCCS Import'!$S$3&amp;"$O$54"),8,)</f>
        <v>0.98</v>
      </c>
      <c r="AP10" s="1">
        <f ca="1">VLOOKUP(A10,INDIRECT('LOCCS Import'!$R$3&amp;"$A$3"):INDIRECT('LOCCS Import'!$R$3&amp;"$O$54"),8,)</f>
        <v>0.77</v>
      </c>
      <c r="AQ10" s="1">
        <f ca="1">VLOOKUP(A10,INDIRECT('LOCCS Import'!$Q$3&amp;"$A$3"):INDIRECT('LOCCS Import'!$Q$3&amp;"$O$54"),8,)</f>
        <v>0.68</v>
      </c>
      <c r="AR10" s="1">
        <f ca="1">VLOOKUP(A10,INDIRECT('LOCCS Import'!$P$3&amp;"$A$3"):INDIRECT('LOCCS Import'!$P$3&amp;"$O$54"),8,)</f>
        <v>0.68</v>
      </c>
      <c r="AS10" s="1">
        <f ca="1">VLOOKUP(A10,INDIRECT('LOCCS Import'!$O$3&amp;"$A$3"):INDIRECT('LOCCS Import'!$O$3&amp;"$O$54"),8,)</f>
        <v>0.65</v>
      </c>
      <c r="AT10" s="1">
        <f ca="1">VLOOKUP(A10,INDIRECT('LOCCS Import'!$N$3&amp;"$A$3"):INDIRECT('LOCCS Import'!$N$3&amp;"$O$54"),8,)</f>
        <v>0.89</v>
      </c>
      <c r="AU10" s="1">
        <f ca="1">VLOOKUP(A10,INDIRECT('LOCCS Import'!$M$3&amp;"$A$3"):INDIRECT('LOCCS Import'!$M$3&amp;"$O$54"),8,)</f>
        <v>0.93</v>
      </c>
      <c r="AV10" s="1">
        <f ca="1">VLOOKUP(A10,INDIRECT('LOCCS Import'!$L$3&amp;"$A$3"):INDIRECT('LOCCS Import'!$L$3&amp;"$O$54"),8,)</f>
        <v>1.03</v>
      </c>
      <c r="AW10" s="1">
        <f ca="1">VLOOKUP(A10,INDIRECT('LOCCS Import'!$K$3&amp;"$A$3"):INDIRECT('LOCCS Import'!$K$3&amp;"$O$54"),8,)</f>
        <v>0.95</v>
      </c>
      <c r="AX10" s="1">
        <f ca="1">VLOOKUP(A10,INDIRECT('LOCCS Import'!$J$3&amp;"$A$3"):INDIRECT('LOCCS Import'!$J$3&amp;"$O$54"),8,)</f>
        <v>0.9</v>
      </c>
      <c r="AY10" s="1">
        <f ca="1">VLOOKUP(A10,INDIRECT('LOCCS Import'!$I$3&amp;"$A$3"):INDIRECT('LOCCS Import'!$I$3&amp;"$O$54"),8,)</f>
        <v>0.8</v>
      </c>
      <c r="AZ10" s="1">
        <f ca="1">VLOOKUP(A10,INDIRECT('LOCCS Import'!$H$3&amp;"$A$3"):INDIRECT('LOCCS Import'!$H$3&amp;"$O$54"),8,)</f>
        <v>0.98</v>
      </c>
      <c r="BA10" s="1">
        <f ca="1">VLOOKUP(A10,INDIRECT('LOCCS Import'!$G$3&amp;"$A$3"):INDIRECT('LOCCS Import'!$G$3&amp;"$O$54"),8,)</f>
        <v>0.89</v>
      </c>
      <c r="BB10" s="1">
        <f ca="1">VLOOKUP(A10,INDIRECT('LOCCS Import'!$F$3&amp;"$A$3"):INDIRECT('LOCCS Import'!$F$3&amp;"$O$54"),8,)</f>
        <v>0.97</v>
      </c>
      <c r="BC10" s="1">
        <f ca="1">VLOOKUP(A10,INDIRECT('LOCCS Import'!$E$3&amp;"$A$3"):INDIRECT('LOCCS Import'!$E$3&amp;"$O$54"),8,)</f>
        <v>0.96</v>
      </c>
      <c r="BD10" s="2">
        <f>VLOOKUP(A10,template!$A$3:$P$54,8,)</f>
        <v>0.96</v>
      </c>
      <c r="BE10" s="2">
        <f t="shared" ca="1" si="4"/>
        <v>0.90916666666666701</v>
      </c>
      <c r="BF10" s="109">
        <f t="shared" ca="1" si="5"/>
        <v>29</v>
      </c>
    </row>
    <row r="11" spans="1:58" x14ac:dyDescent="0.3">
      <c r="A11" s="64" t="s">
        <v>19</v>
      </c>
      <c r="B11" s="61" t="s">
        <v>157</v>
      </c>
      <c r="C11" s="61" t="s">
        <v>164</v>
      </c>
      <c r="D11" s="57">
        <f ca="1">VLOOKUP(A11,INDIRECT('LOCCS Import'!$AA$3&amp;"$A$3"):INDIRECT('LOCCS Import'!$AA$3&amp;"$O$54"),7,)</f>
        <v>5.37</v>
      </c>
      <c r="E11" s="57">
        <f ca="1">VLOOKUP(A11,INDIRECT('LOCCS Import'!$Z$3&amp;"$A$3"):INDIRECT('LOCCS Import'!$Z$3&amp;"$O$54"),7,)</f>
        <v>5.33</v>
      </c>
      <c r="F11" s="57">
        <f ca="1">VLOOKUP(A11,INDIRECT('LOCCS Import'!$Y$3&amp;"$A$3"):INDIRECT('LOCCS Import'!$Y$3&amp;"$O$54"),7,)</f>
        <v>5.32</v>
      </c>
      <c r="G11" s="57">
        <f ca="1">VLOOKUP(A11,INDIRECT('LOCCS Import'!$X$3&amp;"$A$3"):INDIRECT('LOCCS Import'!$X$3&amp;"$O$54"),7,)</f>
        <v>5.27</v>
      </c>
      <c r="H11" s="57">
        <f ca="1">VLOOKUP(A11,INDIRECT('LOCCS Import'!$W$3&amp;"$A$3"):INDIRECT('LOCCS Import'!$W$3&amp;"$O$54"),7,)</f>
        <v>5.12</v>
      </c>
      <c r="I11" s="57">
        <f ca="1">VLOOKUP(A11,INDIRECT('LOCCS Import'!$V$3&amp;"$A$3"):INDIRECT('LOCCS Import'!$V$3&amp;"$O$54"),7,)</f>
        <v>5.1100000000000003</v>
      </c>
      <c r="J11" s="57">
        <f ca="1">VLOOKUP(A11,INDIRECT('LOCCS Import'!$U$3&amp;"$A$3"):INDIRECT('LOCCS Import'!$U$3&amp;"$O$54"),7,)</f>
        <v>5.09</v>
      </c>
      <c r="K11" s="57">
        <f ca="1">VLOOKUP(A11,INDIRECT('LOCCS Import'!$T$3&amp;"$A$3"):INDIRECT('LOCCS Import'!$T$3&amp;"$O$54"),7,)</f>
        <v>6.33</v>
      </c>
      <c r="L11" s="57">
        <f ca="1">VLOOKUP(A11,INDIRECT('LOCCS Import'!$S$3&amp;"$A$3"):INDIRECT('LOCCS Import'!$S$3&amp;"$O$54"),7,)</f>
        <v>6.3</v>
      </c>
      <c r="M11" s="57">
        <f ca="1">VLOOKUP(A11,INDIRECT('LOCCS Import'!$R$3&amp;"$A$3"):INDIRECT('LOCCS Import'!$R$3&amp;"$O$54"),7,)</f>
        <v>6.25</v>
      </c>
      <c r="N11" s="57">
        <f ca="1">VLOOKUP(A11,INDIRECT('LOCCS Import'!$Q$3&amp;"$A$3"):INDIRECT('LOCCS Import'!$Q$3&amp;"$O$54"),7,)</f>
        <v>6.24</v>
      </c>
      <c r="O11" s="57">
        <f ca="1">VLOOKUP(A11,INDIRECT('LOCCS Import'!$P$3&amp;"$A$3"):INDIRECT('LOCCS Import'!$P$3&amp;"$O$54"),7,)</f>
        <v>6.24</v>
      </c>
      <c r="P11" s="57">
        <f ca="1">VLOOKUP(A11,INDIRECT('LOCCS Import'!$O$3&amp;"$A$3"):INDIRECT('LOCCS Import'!$O$3&amp;"$O$54"),7,)</f>
        <v>6.17</v>
      </c>
      <c r="Q11" s="57">
        <f ca="1">VLOOKUP(A11,INDIRECT('LOCCS Import'!$N$3&amp;"$A$3"):INDIRECT('LOCCS Import'!$N$3&amp;"$O$54"),7,)</f>
        <v>6.1</v>
      </c>
      <c r="R11" s="57">
        <f ca="1">VLOOKUP(A11,INDIRECT('LOCCS Import'!$M$3&amp;"$A$3"):INDIRECT('LOCCS Import'!$M$3&amp;"$O$54"),7,)</f>
        <v>6.07</v>
      </c>
      <c r="S11" s="57">
        <f ca="1">VLOOKUP(A11,INDIRECT('LOCCS Import'!$L$3&amp;"$A$3"):INDIRECT('LOCCS Import'!$L$3&amp;"$O$54"),7,)</f>
        <v>5.97</v>
      </c>
      <c r="T11" s="57">
        <f ca="1">VLOOKUP(A11,INDIRECT('LOCCS Import'!$K$3&amp;"$A$3"):INDIRECT('LOCCS Import'!$K$3&amp;"$O$54"),7,)</f>
        <v>5.33</v>
      </c>
      <c r="U11" s="57">
        <f ca="1">VLOOKUP(A11,INDIRECT('LOCCS Import'!$J$3&amp;"$A$3"):INDIRECT('LOCCS Import'!$J$3&amp;"$O$54"),7,)</f>
        <v>5.3</v>
      </c>
      <c r="V11" s="57">
        <f ca="1">VLOOKUP(A11,INDIRECT('LOCCS Import'!$I$3&amp;"$A$3"):INDIRECT('LOCCS Import'!$I$3&amp;"$O$54"),7,)</f>
        <v>5.25</v>
      </c>
      <c r="W11" s="57">
        <f ca="1">VLOOKUP(A11,INDIRECT('LOCCS Import'!$H$3&amp;"$A$3"):INDIRECT('LOCCS Import'!$H$3&amp;"$O$54"),7,)</f>
        <v>5.25</v>
      </c>
      <c r="X11" s="57">
        <f ca="1">VLOOKUP(A11,INDIRECT('LOCCS Import'!$G$3&amp;"$A$3"):INDIRECT('LOCCS Import'!$G$3&amp;"$O$54"),7,)</f>
        <v>6.28</v>
      </c>
      <c r="Y11" s="57">
        <f ca="1">VLOOKUP(A11,INDIRECT('LOCCS Import'!$F$3&amp;"$A$3"):INDIRECT('LOCCS Import'!$F$3&amp;"$O$54"),7,)</f>
        <v>6.27</v>
      </c>
      <c r="Z11" s="57">
        <f ca="1">VLOOKUP(A11,INDIRECT('LOCCS Import'!$E$3&amp;"$A$3"):INDIRECT('LOCCS Import'!$E$3&amp;"$O$54"),7,)</f>
        <v>6.25</v>
      </c>
      <c r="AA11" s="57">
        <f>VLOOKUP(A11,template!$A$3:$P$54,7,)</f>
        <v>6.22</v>
      </c>
      <c r="AB11" s="55">
        <f t="shared" ca="1" si="0"/>
        <v>6.28</v>
      </c>
      <c r="AC11" s="57">
        <f t="shared" ca="1" si="1"/>
        <v>5.25</v>
      </c>
      <c r="AD11" s="58">
        <f t="shared" ca="1" si="2"/>
        <v>5.8716666666666661</v>
      </c>
      <c r="AE11" s="80">
        <f t="shared" ca="1" si="3"/>
        <v>50</v>
      </c>
      <c r="AF11" s="127"/>
      <c r="AG11" s="3">
        <f ca="1">VLOOKUP(A11,INDIRECT('LOCCS Import'!$AA$3&amp;"$A$3"):INDIRECT('LOCCS Import'!$AA$3&amp;"$O$54"),8,)</f>
        <v>0.3</v>
      </c>
      <c r="AH11" s="1">
        <f ca="1">VLOOKUP(A11,INDIRECT('LOCCS Import'!$Z$3&amp;"$A$3"):INDIRECT('LOCCS Import'!$Z$3&amp;"$O$54"),8,)</f>
        <v>0.3</v>
      </c>
      <c r="AI11" s="1">
        <f ca="1">VLOOKUP(A11,INDIRECT('LOCCS Import'!$Y$3&amp;"$A$3"):INDIRECT('LOCCS Import'!$Y$3&amp;"$O$54"),8,)</f>
        <v>0.32</v>
      </c>
      <c r="AJ11" s="1">
        <f ca="1">VLOOKUP(A11,INDIRECT('LOCCS Import'!$X$3&amp;"$A$3"):INDIRECT('LOCCS Import'!$X$3&amp;"$O$54"),8,)</f>
        <v>0.34</v>
      </c>
      <c r="AK11" s="1">
        <f ca="1">VLOOKUP(A11,INDIRECT('LOCCS Import'!$W$3&amp;"$A$3"):INDIRECT('LOCCS Import'!$W$3&amp;"$O$54"),8,)</f>
        <v>0.44</v>
      </c>
      <c r="AL11" s="1">
        <f ca="1">VLOOKUP(A11,INDIRECT('LOCCS Import'!$V$3&amp;"$A$3"):INDIRECT('LOCCS Import'!$V$3&amp;"$O$54"),8,)</f>
        <v>0.44</v>
      </c>
      <c r="AM11" s="1">
        <f ca="1">VLOOKUP(A11,INDIRECT('LOCCS Import'!$U$3&amp;"$A$3"):INDIRECT('LOCCS Import'!$U$3&amp;"$O$54"),8,)</f>
        <v>0.44</v>
      </c>
      <c r="AN11" s="1">
        <f ca="1">VLOOKUP(A11,INDIRECT('LOCCS Import'!$T$3&amp;"$A$3"):INDIRECT('LOCCS Import'!$T$3&amp;"$O$54"),8,)</f>
        <v>0.49</v>
      </c>
      <c r="AO11" s="1">
        <f ca="1">VLOOKUP(A11,INDIRECT('LOCCS Import'!$S$3&amp;"$A$3"):INDIRECT('LOCCS Import'!$S$3&amp;"$O$54"),8,)</f>
        <v>0.51</v>
      </c>
      <c r="AP11" s="1">
        <f ca="1">VLOOKUP(A11,INDIRECT('LOCCS Import'!$R$3&amp;"$A$3"):INDIRECT('LOCCS Import'!$R$3&amp;"$O$54"),8,)</f>
        <v>0.54</v>
      </c>
      <c r="AQ11" s="1">
        <f ca="1">VLOOKUP(A11,INDIRECT('LOCCS Import'!$Q$3&amp;"$A$3"):INDIRECT('LOCCS Import'!$Q$3&amp;"$O$54"),8,)</f>
        <v>0.51</v>
      </c>
      <c r="AR11" s="1">
        <f ca="1">VLOOKUP(A11,INDIRECT('LOCCS Import'!$P$3&amp;"$A$3"):INDIRECT('LOCCS Import'!$P$3&amp;"$O$54"),8,)</f>
        <v>0.51</v>
      </c>
      <c r="AS11" s="1">
        <f ca="1">VLOOKUP(A11,INDIRECT('LOCCS Import'!$O$3&amp;"$A$3"):INDIRECT('LOCCS Import'!$O$3&amp;"$O$54"),8,)</f>
        <v>0.5</v>
      </c>
      <c r="AT11" s="1">
        <f ca="1">VLOOKUP(A11,INDIRECT('LOCCS Import'!$N$3&amp;"$A$3"):INDIRECT('LOCCS Import'!$N$3&amp;"$O$54"),8,)</f>
        <v>0.53</v>
      </c>
      <c r="AU11" s="1">
        <f ca="1">VLOOKUP(A11,INDIRECT('LOCCS Import'!$M$3&amp;"$A$3"):INDIRECT('LOCCS Import'!$M$3&amp;"$O$54"),8,)</f>
        <v>0.51</v>
      </c>
      <c r="AV11" s="1">
        <f ca="1">VLOOKUP(A11,INDIRECT('LOCCS Import'!$L$3&amp;"$A$3"):INDIRECT('LOCCS Import'!$L$3&amp;"$O$54"),8,)</f>
        <v>0.59</v>
      </c>
      <c r="AW11" s="1">
        <f ca="1">VLOOKUP(A11,INDIRECT('LOCCS Import'!$K$3&amp;"$A$3"):INDIRECT('LOCCS Import'!$K$3&amp;"$O$54"),8,)</f>
        <v>0.97</v>
      </c>
      <c r="AX11" s="1">
        <f ca="1">VLOOKUP(A11,INDIRECT('LOCCS Import'!$J$3&amp;"$A$3"):INDIRECT('LOCCS Import'!$J$3&amp;"$O$54"),8,)</f>
        <v>0.99</v>
      </c>
      <c r="AY11" s="1">
        <f ca="1">VLOOKUP(A11,INDIRECT('LOCCS Import'!$I$3&amp;"$A$3"):INDIRECT('LOCCS Import'!$I$3&amp;"$O$54"),8,)</f>
        <v>1.02</v>
      </c>
      <c r="AZ11" s="1">
        <f ca="1">VLOOKUP(A11,INDIRECT('LOCCS Import'!$H$3&amp;"$A$3"):INDIRECT('LOCCS Import'!$H$3&amp;"$O$54"),8,)</f>
        <v>0.98</v>
      </c>
      <c r="BA11" s="1">
        <f ca="1">VLOOKUP(A11,INDIRECT('LOCCS Import'!$G$3&amp;"$A$3"):INDIRECT('LOCCS Import'!$G$3&amp;"$O$54"),8,)</f>
        <v>0.96</v>
      </c>
      <c r="BB11" s="1">
        <f ca="1">VLOOKUP(A11,INDIRECT('LOCCS Import'!$F$3&amp;"$A$3"):INDIRECT('LOCCS Import'!$F$3&amp;"$O$54"),8,)</f>
        <v>0.93</v>
      </c>
      <c r="BC11" s="1">
        <f ca="1">VLOOKUP(A11,INDIRECT('LOCCS Import'!$E$3&amp;"$A$3"):INDIRECT('LOCCS Import'!$E$3&amp;"$O$54"),8,)</f>
        <v>0.93</v>
      </c>
      <c r="BD11" s="2">
        <f>VLOOKUP(A11,template!$A$3:$P$54,8,)</f>
        <v>0.93</v>
      </c>
      <c r="BE11" s="2">
        <f t="shared" ca="1" si="4"/>
        <v>0.82</v>
      </c>
      <c r="BF11" s="109">
        <f t="shared" ca="1" si="5"/>
        <v>40</v>
      </c>
    </row>
    <row r="12" spans="1:58" x14ac:dyDescent="0.3">
      <c r="A12" s="64" t="s">
        <v>50</v>
      </c>
      <c r="B12" s="61" t="s">
        <v>157</v>
      </c>
      <c r="C12" s="61" t="s">
        <v>165</v>
      </c>
      <c r="D12" s="57">
        <f ca="1">VLOOKUP(A12,INDIRECT('LOCCS Import'!$AA$3&amp;"$A$3"):INDIRECT('LOCCS Import'!$AA$3&amp;"$O$54"),7,)</f>
        <v>2.65</v>
      </c>
      <c r="E12" s="57">
        <f ca="1">VLOOKUP(A12,INDIRECT('LOCCS Import'!$Z$3&amp;"$A$3"):INDIRECT('LOCCS Import'!$Z$3&amp;"$O$54"),7,)</f>
        <v>2.52</v>
      </c>
      <c r="F12" s="57">
        <f ca="1">VLOOKUP(A12,INDIRECT('LOCCS Import'!$Y$3&amp;"$A$3"):INDIRECT('LOCCS Import'!$Y$3&amp;"$O$54"),7,)</f>
        <v>2.4300000000000002</v>
      </c>
      <c r="G12" s="57">
        <f ca="1">VLOOKUP(A12,INDIRECT('LOCCS Import'!$X$3&amp;"$A$3"):INDIRECT('LOCCS Import'!$X$3&amp;"$O$54"),7,)</f>
        <v>2.37</v>
      </c>
      <c r="H12" s="57">
        <f ca="1">VLOOKUP(A12,INDIRECT('LOCCS Import'!$W$3&amp;"$A$3"):INDIRECT('LOCCS Import'!$W$3&amp;"$O$54"),7,)</f>
        <v>2.33</v>
      </c>
      <c r="I12" s="57">
        <f ca="1">VLOOKUP(A12,INDIRECT('LOCCS Import'!$V$3&amp;"$A$3"):INDIRECT('LOCCS Import'!$V$3&amp;"$O$54"),7,)</f>
        <v>2.29</v>
      </c>
      <c r="J12" s="57">
        <f ca="1">VLOOKUP(A12,INDIRECT('LOCCS Import'!$U$3&amp;"$A$3"):INDIRECT('LOCCS Import'!$U$3&amp;"$O$54"),7,)</f>
        <v>2.2400000000000002</v>
      </c>
      <c r="K12" s="57">
        <f ca="1">VLOOKUP(A12,INDIRECT('LOCCS Import'!$T$3&amp;"$A$3"):INDIRECT('LOCCS Import'!$T$3&amp;"$O$54"),7,)</f>
        <v>3.19</v>
      </c>
      <c r="L12" s="57">
        <f ca="1">VLOOKUP(A12,INDIRECT('LOCCS Import'!$S$3&amp;"$A$3"):INDIRECT('LOCCS Import'!$S$3&amp;"$O$54"),7,)</f>
        <v>3.1</v>
      </c>
      <c r="M12" s="57">
        <f ca="1">VLOOKUP(A12,INDIRECT('LOCCS Import'!$R$3&amp;"$A$3"):INDIRECT('LOCCS Import'!$R$3&amp;"$O$54"),7,)</f>
        <v>3.01</v>
      </c>
      <c r="N12" s="57">
        <f ca="1">VLOOKUP(A12,INDIRECT('LOCCS Import'!$Q$3&amp;"$A$3"):INDIRECT('LOCCS Import'!$Q$3&amp;"$O$54"),7,)</f>
        <v>2.94</v>
      </c>
      <c r="O12" s="57">
        <f ca="1">VLOOKUP(A12,INDIRECT('LOCCS Import'!$P$3&amp;"$A$3"):INDIRECT('LOCCS Import'!$P$3&amp;"$O$54"),7,)</f>
        <v>2.94</v>
      </c>
      <c r="P12" s="57">
        <f ca="1">VLOOKUP(A12,INDIRECT('LOCCS Import'!$O$3&amp;"$A$3"):INDIRECT('LOCCS Import'!$O$3&amp;"$O$54"),7,)</f>
        <v>2.81</v>
      </c>
      <c r="Q12" s="57">
        <f ca="1">VLOOKUP(A12,INDIRECT('LOCCS Import'!$N$3&amp;"$A$3"):INDIRECT('LOCCS Import'!$N$3&amp;"$O$54"),7,)</f>
        <v>2.71</v>
      </c>
      <c r="R12" s="57">
        <f ca="1">VLOOKUP(A12,INDIRECT('LOCCS Import'!$M$3&amp;"$A$3"):INDIRECT('LOCCS Import'!$M$3&amp;"$O$54"),7,)</f>
        <v>2.63</v>
      </c>
      <c r="S12" s="57">
        <f ca="1">VLOOKUP(A12,INDIRECT('LOCCS Import'!$L$3&amp;"$A$3"):INDIRECT('LOCCS Import'!$L$3&amp;"$O$54"),7,)</f>
        <v>2.5</v>
      </c>
      <c r="T12" s="57">
        <f ca="1">VLOOKUP(A12,INDIRECT('LOCCS Import'!$K$3&amp;"$A$3"):INDIRECT('LOCCS Import'!$K$3&amp;"$O$54"),7,)</f>
        <v>3.41</v>
      </c>
      <c r="U12" s="57">
        <f ca="1">VLOOKUP(A12,INDIRECT('LOCCS Import'!$J$3&amp;"$A$3"):INDIRECT('LOCCS Import'!$J$3&amp;"$O$54"),7,)</f>
        <v>3.32</v>
      </c>
      <c r="V12" s="57">
        <f ca="1">VLOOKUP(A12,INDIRECT('LOCCS Import'!$I$3&amp;"$A$3"):INDIRECT('LOCCS Import'!$I$3&amp;"$O$54"),7,)</f>
        <v>3.29</v>
      </c>
      <c r="W12" s="57">
        <f ca="1">VLOOKUP(A12,INDIRECT('LOCCS Import'!$H$3&amp;"$A$3"):INDIRECT('LOCCS Import'!$H$3&amp;"$O$54"),7,)</f>
        <v>3.27</v>
      </c>
      <c r="X12" s="57">
        <f ca="1">VLOOKUP(A12,INDIRECT('LOCCS Import'!$G$3&amp;"$A$3"):INDIRECT('LOCCS Import'!$G$3&amp;"$O$54"),7,)</f>
        <v>3.22</v>
      </c>
      <c r="Y12" s="57">
        <f ca="1">VLOOKUP(A12,INDIRECT('LOCCS Import'!$F$3&amp;"$A$3"):INDIRECT('LOCCS Import'!$F$3&amp;"$O$54"),7,)</f>
        <v>3.18</v>
      </c>
      <c r="Z12" s="57">
        <f ca="1">VLOOKUP(A12,INDIRECT('LOCCS Import'!$E$3&amp;"$A$3"):INDIRECT('LOCCS Import'!$E$3&amp;"$O$54"),7,)</f>
        <v>3.15</v>
      </c>
      <c r="AA12" s="57">
        <f>VLOOKUP(A12,template!$A$3:$P$54,7,)</f>
        <v>3.11</v>
      </c>
      <c r="AB12" s="55">
        <f t="shared" ca="1" si="0"/>
        <v>3.41</v>
      </c>
      <c r="AC12" s="57">
        <f t="shared" ca="1" si="1"/>
        <v>2.5</v>
      </c>
      <c r="AD12" s="58">
        <f t="shared" ca="1" si="2"/>
        <v>3.0499999999999994</v>
      </c>
      <c r="AE12" s="80">
        <f t="shared" ca="1" si="3"/>
        <v>26</v>
      </c>
      <c r="AF12" s="127"/>
      <c r="AG12" s="3">
        <f ca="1">VLOOKUP(A12,INDIRECT('LOCCS Import'!$AA$3&amp;"$A$3"):INDIRECT('LOCCS Import'!$AA$3&amp;"$O$54"),8,)</f>
        <v>0.95</v>
      </c>
      <c r="AH12" s="1">
        <f ca="1">VLOOKUP(A12,INDIRECT('LOCCS Import'!$Z$3&amp;"$A$3"):INDIRECT('LOCCS Import'!$Z$3&amp;"$O$54"),8,)</f>
        <v>0.97</v>
      </c>
      <c r="AI12" s="1">
        <f ca="1">VLOOKUP(A12,INDIRECT('LOCCS Import'!$Y$3&amp;"$A$3"):INDIRECT('LOCCS Import'!$Y$3&amp;"$O$54"),8,)</f>
        <v>0.98</v>
      </c>
      <c r="AJ12" s="1">
        <f ca="1">VLOOKUP(A12,INDIRECT('LOCCS Import'!$X$3&amp;"$A$3"):INDIRECT('LOCCS Import'!$X$3&amp;"$O$54"),8,)</f>
        <v>0.95</v>
      </c>
      <c r="AK12" s="1">
        <f ca="1">VLOOKUP(A12,INDIRECT('LOCCS Import'!$W$3&amp;"$A$3"):INDIRECT('LOCCS Import'!$W$3&amp;"$O$54"),8,)</f>
        <v>0.95</v>
      </c>
      <c r="AL12" s="1">
        <f ca="1">VLOOKUP(A12,INDIRECT('LOCCS Import'!$V$3&amp;"$A$3"):INDIRECT('LOCCS Import'!$V$3&amp;"$O$54"),8,)</f>
        <v>0.92</v>
      </c>
      <c r="AM12" s="1">
        <f ca="1">VLOOKUP(A12,INDIRECT('LOCCS Import'!$U$3&amp;"$A$3"):INDIRECT('LOCCS Import'!$U$3&amp;"$O$54"),8,)</f>
        <v>0.91</v>
      </c>
      <c r="AN12" s="1">
        <f ca="1">VLOOKUP(A12,INDIRECT('LOCCS Import'!$T$3&amp;"$A$3"):INDIRECT('LOCCS Import'!$T$3&amp;"$O$54"),8,)</f>
        <v>0.92</v>
      </c>
      <c r="AO12" s="1">
        <f ca="1">VLOOKUP(A12,INDIRECT('LOCCS Import'!$S$3&amp;"$A$3"):INDIRECT('LOCCS Import'!$S$3&amp;"$O$54"),8,)</f>
        <v>0.9</v>
      </c>
      <c r="AP12" s="1">
        <f ca="1">VLOOKUP(A12,INDIRECT('LOCCS Import'!$R$3&amp;"$A$3"):INDIRECT('LOCCS Import'!$R$3&amp;"$O$54"),8,)</f>
        <v>0.94</v>
      </c>
      <c r="AQ12" s="1">
        <f ca="1">VLOOKUP(A12,INDIRECT('LOCCS Import'!$Q$3&amp;"$A$3"):INDIRECT('LOCCS Import'!$Q$3&amp;"$O$54"),8,)</f>
        <v>0.92</v>
      </c>
      <c r="AR12" s="1">
        <f ca="1">VLOOKUP(A12,INDIRECT('LOCCS Import'!$P$3&amp;"$A$3"):INDIRECT('LOCCS Import'!$P$3&amp;"$O$54"),8,)</f>
        <v>0.92</v>
      </c>
      <c r="AS12" s="1">
        <f ca="1">VLOOKUP(A12,INDIRECT('LOCCS Import'!$O$3&amp;"$A$3"):INDIRECT('LOCCS Import'!$O$3&amp;"$O$54"),8,)</f>
        <v>0.86</v>
      </c>
      <c r="AT12" s="1">
        <f ca="1">VLOOKUP(A12,INDIRECT('LOCCS Import'!$N$3&amp;"$A$3"):INDIRECT('LOCCS Import'!$N$3&amp;"$O$54"),8,)</f>
        <v>0.84</v>
      </c>
      <c r="AU12" s="1">
        <f ca="1">VLOOKUP(A12,INDIRECT('LOCCS Import'!$M$3&amp;"$A$3"):INDIRECT('LOCCS Import'!$M$3&amp;"$O$54"),8,)</f>
        <v>0.83</v>
      </c>
      <c r="AV12" s="1">
        <f ca="1">VLOOKUP(A12,INDIRECT('LOCCS Import'!$L$3&amp;"$A$3"):INDIRECT('LOCCS Import'!$L$3&amp;"$O$54"),8,)</f>
        <v>0.88</v>
      </c>
      <c r="AW12" s="1">
        <f ca="1">VLOOKUP(A12,INDIRECT('LOCCS Import'!$K$3&amp;"$A$3"):INDIRECT('LOCCS Import'!$K$3&amp;"$O$54"),8,)</f>
        <v>0.95</v>
      </c>
      <c r="AX12" s="1">
        <f ca="1">VLOOKUP(A12,INDIRECT('LOCCS Import'!$J$3&amp;"$A$3"):INDIRECT('LOCCS Import'!$J$3&amp;"$O$54"),8,)</f>
        <v>0.98</v>
      </c>
      <c r="AY12" s="1">
        <f ca="1">VLOOKUP(A12,INDIRECT('LOCCS Import'!$I$3&amp;"$A$3"):INDIRECT('LOCCS Import'!$I$3&amp;"$O$54"),8,)</f>
        <v>0.98</v>
      </c>
      <c r="AZ12" s="1">
        <f ca="1">VLOOKUP(A12,INDIRECT('LOCCS Import'!$H$3&amp;"$A$3"):INDIRECT('LOCCS Import'!$H$3&amp;"$O$54"),8,)</f>
        <v>0.93</v>
      </c>
      <c r="BA12" s="1">
        <f ca="1">VLOOKUP(A12,INDIRECT('LOCCS Import'!$G$3&amp;"$A$3"):INDIRECT('LOCCS Import'!$G$3&amp;"$O$54"),8,)</f>
        <v>0.89</v>
      </c>
      <c r="BB12" s="1">
        <f ca="1">VLOOKUP(A12,INDIRECT('LOCCS Import'!$F$3&amp;"$A$3"):INDIRECT('LOCCS Import'!$F$3&amp;"$O$54"),8,)</f>
        <v>0.83</v>
      </c>
      <c r="BC12" s="1">
        <f ca="1">VLOOKUP(A12,INDIRECT('LOCCS Import'!$E$3&amp;"$A$3"):INDIRECT('LOCCS Import'!$E$3&amp;"$O$54"),8,)</f>
        <v>0.78</v>
      </c>
      <c r="BD12" s="2">
        <f>VLOOKUP(A12,template!$A$3:$P$54,8,)</f>
        <v>0.76</v>
      </c>
      <c r="BE12" s="2">
        <f t="shared" ca="1" si="4"/>
        <v>0.87583333333333335</v>
      </c>
      <c r="BF12" s="109">
        <f t="shared" ca="1" si="5"/>
        <v>34</v>
      </c>
    </row>
    <row r="13" spans="1:58" x14ac:dyDescent="0.3">
      <c r="A13" s="64" t="s">
        <v>60</v>
      </c>
      <c r="B13" s="61" t="s">
        <v>155</v>
      </c>
      <c r="C13" s="61" t="s">
        <v>166</v>
      </c>
      <c r="D13" s="57">
        <f ca="1">VLOOKUP(A13,INDIRECT('LOCCS Import'!$AA$3&amp;"$A$3"):INDIRECT('LOCCS Import'!$AA$3&amp;"$O$54"),7,)</f>
        <v>2.29</v>
      </c>
      <c r="E13" s="57">
        <f ca="1">VLOOKUP(A13,INDIRECT('LOCCS Import'!$Z$3&amp;"$A$3"):INDIRECT('LOCCS Import'!$Z$3&amp;"$O$54"),7,)</f>
        <v>2.16</v>
      </c>
      <c r="F13" s="57">
        <f ca="1">VLOOKUP(A13,INDIRECT('LOCCS Import'!$Y$3&amp;"$A$3"):INDIRECT('LOCCS Import'!$Y$3&amp;"$O$54"),7,)</f>
        <v>2.11</v>
      </c>
      <c r="G13" s="57">
        <f ca="1">VLOOKUP(A13,INDIRECT('LOCCS Import'!$X$3&amp;"$A$3"):INDIRECT('LOCCS Import'!$X$3&amp;"$O$54"),7,)</f>
        <v>3</v>
      </c>
      <c r="H13" s="57">
        <f ca="1">VLOOKUP(A13,INDIRECT('LOCCS Import'!$W$3&amp;"$A$3"):INDIRECT('LOCCS Import'!$W$3&amp;"$O$54"),7,)</f>
        <v>2.89</v>
      </c>
      <c r="I13" s="57">
        <f ca="1">VLOOKUP(A13,INDIRECT('LOCCS Import'!$V$3&amp;"$A$3"):INDIRECT('LOCCS Import'!$V$3&amp;"$O$54"),7,)</f>
        <v>2.79</v>
      </c>
      <c r="J13" s="57">
        <f ca="1">VLOOKUP(A13,INDIRECT('LOCCS Import'!$U$3&amp;"$A$3"):INDIRECT('LOCCS Import'!$U$3&amp;"$O$54"),7,)</f>
        <v>2.72</v>
      </c>
      <c r="K13" s="57">
        <f ca="1">VLOOKUP(A13,INDIRECT('LOCCS Import'!$T$3&amp;"$A$3"):INDIRECT('LOCCS Import'!$T$3&amp;"$O$54"),7,)</f>
        <v>2.54</v>
      </c>
      <c r="L13" s="57">
        <f ca="1">VLOOKUP(A13,INDIRECT('LOCCS Import'!$S$3&amp;"$A$3"):INDIRECT('LOCCS Import'!$S$3&amp;"$O$54"),7,)</f>
        <v>2.4300000000000002</v>
      </c>
      <c r="M13" s="57">
        <f ca="1">VLOOKUP(A13,INDIRECT('LOCCS Import'!$R$3&amp;"$A$3"):INDIRECT('LOCCS Import'!$R$3&amp;"$O$54"),7,)</f>
        <v>2.36</v>
      </c>
      <c r="N13" s="57">
        <f ca="1">VLOOKUP(A13,INDIRECT('LOCCS Import'!$Q$3&amp;"$A$3"):INDIRECT('LOCCS Import'!$Q$3&amp;"$O$54"),7,)</f>
        <v>2.29</v>
      </c>
      <c r="O13" s="57">
        <f ca="1">VLOOKUP(A13,INDIRECT('LOCCS Import'!$P$3&amp;"$A$3"):INDIRECT('LOCCS Import'!$P$3&amp;"$O$54"),7,)</f>
        <v>2.29</v>
      </c>
      <c r="P13" s="57">
        <f ca="1">VLOOKUP(A13,INDIRECT('LOCCS Import'!$O$3&amp;"$A$3"):INDIRECT('LOCCS Import'!$O$3&amp;"$O$54"),7,)</f>
        <v>2.23</v>
      </c>
      <c r="Q13" s="57">
        <f ca="1">VLOOKUP(A13,INDIRECT('LOCCS Import'!$N$3&amp;"$A$3"):INDIRECT('LOCCS Import'!$N$3&amp;"$O$54"),7,)</f>
        <v>2.14</v>
      </c>
      <c r="R13" s="57">
        <f ca="1">VLOOKUP(A13,INDIRECT('LOCCS Import'!$M$3&amp;"$A$3"):INDIRECT('LOCCS Import'!$M$3&amp;"$O$54"),7,)</f>
        <v>2.14</v>
      </c>
      <c r="S13" s="57">
        <f ca="1">VLOOKUP(A13,INDIRECT('LOCCS Import'!$L$3&amp;"$A$3"):INDIRECT('LOCCS Import'!$L$3&amp;"$O$54"),7,)</f>
        <v>2.0499999999999998</v>
      </c>
      <c r="T13" s="57">
        <f ca="1">VLOOKUP(A13,INDIRECT('LOCCS Import'!$K$3&amp;"$A$3"):INDIRECT('LOCCS Import'!$K$3&amp;"$O$54"),7,)</f>
        <v>2.93</v>
      </c>
      <c r="U13" s="57">
        <f ca="1">VLOOKUP(A13,INDIRECT('LOCCS Import'!$J$3&amp;"$A$3"):INDIRECT('LOCCS Import'!$J$3&amp;"$O$54"),7,)</f>
        <v>2.77</v>
      </c>
      <c r="V13" s="57">
        <f ca="1">VLOOKUP(A13,INDIRECT('LOCCS Import'!$I$3&amp;"$A$3"):INDIRECT('LOCCS Import'!$I$3&amp;"$O$54"),7,)</f>
        <v>2.77</v>
      </c>
      <c r="W13" s="57">
        <f ca="1">VLOOKUP(A13,INDIRECT('LOCCS Import'!$H$3&amp;"$A$3"):INDIRECT('LOCCS Import'!$H$3&amp;"$O$54"),7,)</f>
        <v>2.58</v>
      </c>
      <c r="X13" s="57">
        <f ca="1">VLOOKUP(A13,INDIRECT('LOCCS Import'!$G$3&amp;"$A$3"):INDIRECT('LOCCS Import'!$G$3&amp;"$O$54"),7,)</f>
        <v>2.58</v>
      </c>
      <c r="Y13" s="57">
        <f ca="1">VLOOKUP(A13,INDIRECT('LOCCS Import'!$F$3&amp;"$A$3"):INDIRECT('LOCCS Import'!$F$3&amp;"$O$54"),7,)</f>
        <v>2.4900000000000002</v>
      </c>
      <c r="Z13" s="57">
        <f ca="1">VLOOKUP(A13,INDIRECT('LOCCS Import'!$E$3&amp;"$A$3"):INDIRECT('LOCCS Import'!$E$3&amp;"$O$54"),7,)</f>
        <v>2.41</v>
      </c>
      <c r="AA13" s="57">
        <f>VLOOKUP(A13,template!$A$3:$P$54,7,)</f>
        <v>2.36</v>
      </c>
      <c r="AB13" s="55">
        <f t="shared" ca="1" si="0"/>
        <v>2.93</v>
      </c>
      <c r="AC13" s="57">
        <f t="shared" ca="1" si="1"/>
        <v>2.0499999999999998</v>
      </c>
      <c r="AD13" s="58">
        <f t="shared" ca="1" si="2"/>
        <v>2.4541666666666666</v>
      </c>
      <c r="AE13" s="80">
        <f t="shared" ca="1" si="3"/>
        <v>14</v>
      </c>
      <c r="AF13" s="127"/>
      <c r="AG13" s="3">
        <f ca="1">VLOOKUP(A13,INDIRECT('LOCCS Import'!$AA$3&amp;"$A$3"):INDIRECT('LOCCS Import'!$AA$3&amp;"$O$54"),8,)</f>
        <v>0.86</v>
      </c>
      <c r="AH13" s="1">
        <f ca="1">VLOOKUP(A13,INDIRECT('LOCCS Import'!$Z$3&amp;"$A$3"):INDIRECT('LOCCS Import'!$Z$3&amp;"$O$54"),8,)</f>
        <v>0.91</v>
      </c>
      <c r="AI13" s="1">
        <f ca="1">VLOOKUP(A13,INDIRECT('LOCCS Import'!$Y$3&amp;"$A$3"):INDIRECT('LOCCS Import'!$Y$3&amp;"$O$54"),8,)</f>
        <v>0.96</v>
      </c>
      <c r="AJ13" s="1">
        <f ca="1">VLOOKUP(A13,INDIRECT('LOCCS Import'!$X$3&amp;"$A$3"):INDIRECT('LOCCS Import'!$X$3&amp;"$O$54"),8,)</f>
        <v>0.96</v>
      </c>
      <c r="AK13" s="1">
        <f ca="1">VLOOKUP(A13,INDIRECT('LOCCS Import'!$W$3&amp;"$A$3"):INDIRECT('LOCCS Import'!$W$3&amp;"$O$54"),8,)</f>
        <v>1.07</v>
      </c>
      <c r="AL13" s="1">
        <f ca="1">VLOOKUP(A13,INDIRECT('LOCCS Import'!$V$3&amp;"$A$3"):INDIRECT('LOCCS Import'!$V$3&amp;"$O$54"),8,)</f>
        <v>1.17</v>
      </c>
      <c r="AM13" s="1">
        <f ca="1">VLOOKUP(A13,INDIRECT('LOCCS Import'!$U$3&amp;"$A$3"):INDIRECT('LOCCS Import'!$U$3&amp;"$O$54"),8,)</f>
        <v>0.98</v>
      </c>
      <c r="AN13" s="1">
        <f ca="1">VLOOKUP(A13,INDIRECT('LOCCS Import'!$T$3&amp;"$A$3"):INDIRECT('LOCCS Import'!$T$3&amp;"$O$54"),8,)</f>
        <v>0.96</v>
      </c>
      <c r="AO13" s="1">
        <f ca="1">VLOOKUP(A13,INDIRECT('LOCCS Import'!$S$3&amp;"$A$3"):INDIRECT('LOCCS Import'!$S$3&amp;"$O$54"),8,)</f>
        <v>0.99</v>
      </c>
      <c r="AP13" s="1">
        <f ca="1">VLOOKUP(A13,INDIRECT('LOCCS Import'!$R$3&amp;"$A$3"):INDIRECT('LOCCS Import'!$R$3&amp;"$O$54"),8,)</f>
        <v>1.02</v>
      </c>
      <c r="AQ13" s="1">
        <f ca="1">VLOOKUP(A13,INDIRECT('LOCCS Import'!$Q$3&amp;"$A$3"):INDIRECT('LOCCS Import'!$Q$3&amp;"$O$54"),8,)</f>
        <v>1.05</v>
      </c>
      <c r="AR13" s="1">
        <f ca="1">VLOOKUP(A13,INDIRECT('LOCCS Import'!$P$3&amp;"$A$3"):INDIRECT('LOCCS Import'!$P$3&amp;"$O$54"),8,)</f>
        <v>1.05</v>
      </c>
      <c r="AS13" s="1">
        <f ca="1">VLOOKUP(A13,INDIRECT('LOCCS Import'!$O$3&amp;"$A$3"):INDIRECT('LOCCS Import'!$O$3&amp;"$O$54"),8,)</f>
        <v>0.98</v>
      </c>
      <c r="AT13" s="1">
        <f ca="1">VLOOKUP(A13,INDIRECT('LOCCS Import'!$N$3&amp;"$A$3"):INDIRECT('LOCCS Import'!$N$3&amp;"$O$54"),8,)</f>
        <v>0.94</v>
      </c>
      <c r="AU13" s="1">
        <f ca="1">VLOOKUP(A13,INDIRECT('LOCCS Import'!$M$3&amp;"$A$3"):INDIRECT('LOCCS Import'!$M$3&amp;"$O$54"),8,)</f>
        <v>0.9</v>
      </c>
      <c r="AV13" s="1">
        <f ca="1">VLOOKUP(A13,INDIRECT('LOCCS Import'!$L$3&amp;"$A$3"):INDIRECT('LOCCS Import'!$L$3&amp;"$O$54"),8,)</f>
        <v>0.95</v>
      </c>
      <c r="AW13" s="1">
        <f ca="1">VLOOKUP(A13,INDIRECT('LOCCS Import'!$K$3&amp;"$A$3"):INDIRECT('LOCCS Import'!$K$3&amp;"$O$54"),8,)</f>
        <v>0.82</v>
      </c>
      <c r="AX13" s="1">
        <f ca="1">VLOOKUP(A13,INDIRECT('LOCCS Import'!$J$3&amp;"$A$3"):INDIRECT('LOCCS Import'!$J$3&amp;"$O$54"),8,)</f>
        <v>0.89</v>
      </c>
      <c r="AY13" s="1">
        <f ca="1">VLOOKUP(A13,INDIRECT('LOCCS Import'!$I$3&amp;"$A$3"):INDIRECT('LOCCS Import'!$I$3&amp;"$O$54"),8,)</f>
        <v>0.82</v>
      </c>
      <c r="AZ13" s="1">
        <f ca="1">VLOOKUP(A13,INDIRECT('LOCCS Import'!$H$3&amp;"$A$3"):INDIRECT('LOCCS Import'!$H$3&amp;"$O$54"),8,)</f>
        <v>0.84</v>
      </c>
      <c r="BA13" s="1">
        <f ca="1">VLOOKUP(A13,INDIRECT('LOCCS Import'!$G$3&amp;"$A$3"):INDIRECT('LOCCS Import'!$G$3&amp;"$O$54"),8,)</f>
        <v>0.73</v>
      </c>
      <c r="BB13" s="1">
        <f ca="1">VLOOKUP(A13,INDIRECT('LOCCS Import'!$F$3&amp;"$A$3"):INDIRECT('LOCCS Import'!$F$3&amp;"$O$54"),8,)</f>
        <v>0.76</v>
      </c>
      <c r="BC13" s="1">
        <f ca="1">VLOOKUP(A13,INDIRECT('LOCCS Import'!$E$3&amp;"$A$3"):INDIRECT('LOCCS Import'!$E$3&amp;"$O$54"),8,)</f>
        <v>0.77</v>
      </c>
      <c r="BD13" s="2">
        <f>VLOOKUP(A13,template!$A$3:$P$54,8,)</f>
        <v>0.8</v>
      </c>
      <c r="BE13" s="2">
        <f t="shared" ca="1" si="4"/>
        <v>0.85</v>
      </c>
      <c r="BF13" s="109">
        <f t="shared" ca="1" si="5"/>
        <v>37</v>
      </c>
    </row>
    <row r="14" spans="1:58" x14ac:dyDescent="0.3">
      <c r="A14" s="64" t="s">
        <v>23</v>
      </c>
      <c r="B14" s="61" t="s">
        <v>167</v>
      </c>
      <c r="C14" s="61" t="s">
        <v>168</v>
      </c>
      <c r="D14" s="57">
        <f ca="1">VLOOKUP(A14,INDIRECT('LOCCS Import'!$AA$3&amp;"$A$3"):INDIRECT('LOCCS Import'!$AA$3&amp;"$O$54"),7,)</f>
        <v>4.57</v>
      </c>
      <c r="E14" s="57">
        <f ca="1">VLOOKUP(A14,INDIRECT('LOCCS Import'!$Z$3&amp;"$A$3"):INDIRECT('LOCCS Import'!$Z$3&amp;"$O$54"),7,)</f>
        <v>4.53</v>
      </c>
      <c r="F14" s="57">
        <f ca="1">VLOOKUP(A14,INDIRECT('LOCCS Import'!$Y$3&amp;"$A$3"):INDIRECT('LOCCS Import'!$Y$3&amp;"$O$54"),7,)</f>
        <v>4.4800000000000004</v>
      </c>
      <c r="G14" s="57">
        <f ca="1">VLOOKUP(A14,INDIRECT('LOCCS Import'!$X$3&amp;"$A$3"):INDIRECT('LOCCS Import'!$X$3&amp;"$O$54"),7,)</f>
        <v>4.47</v>
      </c>
      <c r="H14" s="57">
        <f ca="1">VLOOKUP(A14,INDIRECT('LOCCS Import'!$W$3&amp;"$A$3"):INDIRECT('LOCCS Import'!$W$3&amp;"$O$54"),7,)</f>
        <v>5.45</v>
      </c>
      <c r="I14" s="57">
        <f ca="1">VLOOKUP(A14,INDIRECT('LOCCS Import'!$V$3&amp;"$A$3"):INDIRECT('LOCCS Import'!$V$3&amp;"$O$54"),7,)</f>
        <v>5.4</v>
      </c>
      <c r="J14" s="57">
        <f ca="1">VLOOKUP(A14,INDIRECT('LOCCS Import'!$U$3&amp;"$A$3"):INDIRECT('LOCCS Import'!$U$3&amp;"$O$54"),7,)</f>
        <v>5.33</v>
      </c>
      <c r="K14" s="57">
        <f ca="1">VLOOKUP(A14,INDIRECT('LOCCS Import'!$T$3&amp;"$A$3"):INDIRECT('LOCCS Import'!$T$3&amp;"$O$54"),7,)</f>
        <v>5.23</v>
      </c>
      <c r="L14" s="57">
        <f ca="1">VLOOKUP(A14,INDIRECT('LOCCS Import'!$S$3&amp;"$A$3"):INDIRECT('LOCCS Import'!$S$3&amp;"$O$54"),7,)</f>
        <v>5.15</v>
      </c>
      <c r="M14" s="57">
        <f ca="1">VLOOKUP(A14,INDIRECT('LOCCS Import'!$R$3&amp;"$A$3"):INDIRECT('LOCCS Import'!$R$3&amp;"$O$54"),7,)</f>
        <v>5.08</v>
      </c>
      <c r="N14" s="57">
        <f ca="1">VLOOKUP(A14,INDIRECT('LOCCS Import'!$Q$3&amp;"$A$3"):INDIRECT('LOCCS Import'!$Q$3&amp;"$O$54"),7,)</f>
        <v>5.04</v>
      </c>
      <c r="O14" s="57">
        <f ca="1">VLOOKUP(A14,INDIRECT('LOCCS Import'!$P$3&amp;"$A$3"):INDIRECT('LOCCS Import'!$P$3&amp;"$O$54"),7,)</f>
        <v>5.04</v>
      </c>
      <c r="P14" s="57">
        <f ca="1">VLOOKUP(A14,INDIRECT('LOCCS Import'!$O$3&amp;"$A$3"):INDIRECT('LOCCS Import'!$O$3&amp;"$O$54"),7,)</f>
        <v>4.88</v>
      </c>
      <c r="Q14" s="57">
        <f ca="1">VLOOKUP(A14,INDIRECT('LOCCS Import'!$N$3&amp;"$A$3"):INDIRECT('LOCCS Import'!$N$3&amp;"$O$54"),7,)</f>
        <v>4.63</v>
      </c>
      <c r="R14" s="57">
        <f ca="1">VLOOKUP(A14,INDIRECT('LOCCS Import'!$M$3&amp;"$A$3"):INDIRECT('LOCCS Import'!$M$3&amp;"$O$54"),7,)</f>
        <v>4.57</v>
      </c>
      <c r="S14" s="57">
        <f ca="1">VLOOKUP(A14,INDIRECT('LOCCS Import'!$L$3&amp;"$A$3"):INDIRECT('LOCCS Import'!$L$3&amp;"$O$54"),7,)</f>
        <v>4.18</v>
      </c>
      <c r="T14" s="57">
        <f ca="1">VLOOKUP(A14,INDIRECT('LOCCS Import'!$K$3&amp;"$A$3"):INDIRECT('LOCCS Import'!$K$3&amp;"$O$54"),7,)</f>
        <v>4.07</v>
      </c>
      <c r="U14" s="57">
        <f ca="1">VLOOKUP(A14,INDIRECT('LOCCS Import'!$J$3&amp;"$A$3"):INDIRECT('LOCCS Import'!$J$3&amp;"$O$54"),7,)</f>
        <v>3.73</v>
      </c>
      <c r="V14" s="57">
        <f ca="1">VLOOKUP(A14,INDIRECT('LOCCS Import'!$I$3&amp;"$A$3"):INDIRECT('LOCCS Import'!$I$3&amp;"$O$54"),7,)</f>
        <v>3.66</v>
      </c>
      <c r="W14" s="57">
        <f ca="1">VLOOKUP(A14,INDIRECT('LOCCS Import'!$H$3&amp;"$A$3"):INDIRECT('LOCCS Import'!$H$3&amp;"$O$54"),7,)</f>
        <v>3.48</v>
      </c>
      <c r="X14" s="57">
        <f ca="1">VLOOKUP(A14,INDIRECT('LOCCS Import'!$G$3&amp;"$A$3"):INDIRECT('LOCCS Import'!$G$3&amp;"$O$54"),7,)</f>
        <v>4.37</v>
      </c>
      <c r="Y14" s="57">
        <f ca="1">VLOOKUP(A14,INDIRECT('LOCCS Import'!$F$3&amp;"$A$3"):INDIRECT('LOCCS Import'!$F$3&amp;"$O$54"),7,)</f>
        <v>4.24</v>
      </c>
      <c r="Z14" s="57">
        <f ca="1">VLOOKUP(A14,INDIRECT('LOCCS Import'!$E$3&amp;"$A$3"):INDIRECT('LOCCS Import'!$E$3&amp;"$O$54"),7,)</f>
        <v>4.0999999999999996</v>
      </c>
      <c r="AA14" s="57">
        <f>VLOOKUP(A14,template!$A$3:$P$54,7,)</f>
        <v>4.01</v>
      </c>
      <c r="AB14" s="55">
        <f t="shared" ca="1" si="0"/>
        <v>4.88</v>
      </c>
      <c r="AC14" s="57">
        <f t="shared" ca="1" si="1"/>
        <v>3.48</v>
      </c>
      <c r="AD14" s="58">
        <f t="shared" ca="1" si="2"/>
        <v>4.1599999999999993</v>
      </c>
      <c r="AE14" s="80">
        <f t="shared" ca="1" si="3"/>
        <v>44</v>
      </c>
      <c r="AF14" s="127"/>
      <c r="AG14" s="3">
        <f ca="1">VLOOKUP(A14,INDIRECT('LOCCS Import'!$AA$3&amp;"$A$3"):INDIRECT('LOCCS Import'!$AA$3&amp;"$O$54"),8,)</f>
        <v>0.48</v>
      </c>
      <c r="AH14" s="1">
        <f ca="1">VLOOKUP(A14,INDIRECT('LOCCS Import'!$Z$3&amp;"$A$3"):INDIRECT('LOCCS Import'!$Z$3&amp;"$O$54"),8,)</f>
        <v>0.47</v>
      </c>
      <c r="AI14" s="1">
        <f ca="1">VLOOKUP(A14,INDIRECT('LOCCS Import'!$Y$3&amp;"$A$3"):INDIRECT('LOCCS Import'!$Y$3&amp;"$O$54"),8,)</f>
        <v>0.51</v>
      </c>
      <c r="AJ14" s="1">
        <f ca="1">VLOOKUP(A14,INDIRECT('LOCCS Import'!$X$3&amp;"$A$3"):INDIRECT('LOCCS Import'!$X$3&amp;"$O$54"),8,)</f>
        <v>0.48</v>
      </c>
      <c r="AK14" s="1">
        <f ca="1">VLOOKUP(A14,INDIRECT('LOCCS Import'!$W$3&amp;"$A$3"):INDIRECT('LOCCS Import'!$W$3&amp;"$O$54"),8,)</f>
        <v>0.51</v>
      </c>
      <c r="AL14" s="1">
        <f ca="1">VLOOKUP(A14,INDIRECT('LOCCS Import'!$V$3&amp;"$A$3"):INDIRECT('LOCCS Import'!$V$3&amp;"$O$54"),8,)</f>
        <v>0.51</v>
      </c>
      <c r="AM14" s="1">
        <f ca="1">VLOOKUP(A14,INDIRECT('LOCCS Import'!$U$3&amp;"$A$3"):INDIRECT('LOCCS Import'!$U$3&amp;"$O$54"),8,)</f>
        <v>0.55000000000000004</v>
      </c>
      <c r="AN14" s="1">
        <f ca="1">VLOOKUP(A14,INDIRECT('LOCCS Import'!$T$3&amp;"$A$3"):INDIRECT('LOCCS Import'!$T$3&amp;"$O$54"),8,)</f>
        <v>0.56999999999999995</v>
      </c>
      <c r="AO14" s="1">
        <f ca="1">VLOOKUP(A14,INDIRECT('LOCCS Import'!$S$3&amp;"$A$3"):INDIRECT('LOCCS Import'!$S$3&amp;"$O$54"),8,)</f>
        <v>0.61</v>
      </c>
      <c r="AP14" s="1">
        <f ca="1">VLOOKUP(A14,INDIRECT('LOCCS Import'!$R$3&amp;"$A$3"):INDIRECT('LOCCS Import'!$R$3&amp;"$O$54"),8,)</f>
        <v>0.64</v>
      </c>
      <c r="AQ14" s="1">
        <f ca="1">VLOOKUP(A14,INDIRECT('LOCCS Import'!$Q$3&amp;"$A$3"):INDIRECT('LOCCS Import'!$Q$3&amp;"$O$54"),8,)</f>
        <v>0.63</v>
      </c>
      <c r="AR14" s="1">
        <f ca="1">VLOOKUP(A14,INDIRECT('LOCCS Import'!$P$3&amp;"$A$3"):INDIRECT('LOCCS Import'!$P$3&amp;"$O$54"),8,)</f>
        <v>0.63</v>
      </c>
      <c r="AS14" s="1">
        <f ca="1">VLOOKUP(A14,INDIRECT('LOCCS Import'!$O$3&amp;"$A$3"):INDIRECT('LOCCS Import'!$O$3&amp;"$O$54"),8,)</f>
        <v>0.76</v>
      </c>
      <c r="AT14" s="1">
        <f ca="1">VLOOKUP(A14,INDIRECT('LOCCS Import'!$N$3&amp;"$A$3"):INDIRECT('LOCCS Import'!$N$3&amp;"$O$54"),8,)</f>
        <v>0.96</v>
      </c>
      <c r="AU14" s="1">
        <f ca="1">VLOOKUP(A14,INDIRECT('LOCCS Import'!$M$3&amp;"$A$3"):INDIRECT('LOCCS Import'!$M$3&amp;"$O$54"),8,)</f>
        <v>0.97</v>
      </c>
      <c r="AV14" s="1">
        <f ca="1">VLOOKUP(A14,INDIRECT('LOCCS Import'!$L$3&amp;"$A$3"):INDIRECT('LOCCS Import'!$L$3&amp;"$O$54"),8,)</f>
        <v>1.23</v>
      </c>
      <c r="AW14" s="1">
        <f ca="1">VLOOKUP(A14,INDIRECT('LOCCS Import'!$K$3&amp;"$A$3"):INDIRECT('LOCCS Import'!$K$3&amp;"$O$54"),8,)</f>
        <v>1.39</v>
      </c>
      <c r="AX14" s="1">
        <f ca="1">VLOOKUP(A14,INDIRECT('LOCCS Import'!$J$3&amp;"$A$3"):INDIRECT('LOCCS Import'!$J$3&amp;"$O$54"),8,)</f>
        <v>1.67</v>
      </c>
      <c r="AY14" s="1">
        <f ca="1">VLOOKUP(A14,INDIRECT('LOCCS Import'!$I$3&amp;"$A$3"):INDIRECT('LOCCS Import'!$I$3&amp;"$O$54"),8,)</f>
        <v>1.67</v>
      </c>
      <c r="AZ14" s="1">
        <f ca="1">VLOOKUP(A14,INDIRECT('LOCCS Import'!$H$3&amp;"$A$3"):INDIRECT('LOCCS Import'!$H$3&amp;"$O$54"),8,)</f>
        <v>1.71</v>
      </c>
      <c r="BA14" s="1">
        <f ca="1">VLOOKUP(A14,INDIRECT('LOCCS Import'!$G$3&amp;"$A$3"):INDIRECT('LOCCS Import'!$G$3&amp;"$O$54"),8,)</f>
        <v>1.8</v>
      </c>
      <c r="BB14" s="1">
        <f ca="1">VLOOKUP(A14,INDIRECT('LOCCS Import'!$F$3&amp;"$A$3"):INDIRECT('LOCCS Import'!$F$3&amp;"$O$54"),8,)</f>
        <v>1.86</v>
      </c>
      <c r="BC14" s="1">
        <f ca="1">VLOOKUP(A14,INDIRECT('LOCCS Import'!$E$3&amp;"$A$3"):INDIRECT('LOCCS Import'!$E$3&amp;"$O$54"),8,)</f>
        <v>1.96</v>
      </c>
      <c r="BD14" s="2">
        <f>VLOOKUP(A14,template!$A$3:$P$54,8,)</f>
        <v>1.98</v>
      </c>
      <c r="BE14" s="2">
        <f t="shared" ca="1" si="4"/>
        <v>1.4966666666666668</v>
      </c>
      <c r="BF14" s="109">
        <f t="shared" ca="1" si="5"/>
        <v>1</v>
      </c>
    </row>
    <row r="15" spans="1:58" x14ac:dyDescent="0.3">
      <c r="A15" s="64" t="s">
        <v>63</v>
      </c>
      <c r="B15" s="61" t="s">
        <v>157</v>
      </c>
      <c r="C15" s="61" t="s">
        <v>169</v>
      </c>
      <c r="D15" s="57">
        <f ca="1">VLOOKUP(A15,INDIRECT('LOCCS Import'!$AA$3&amp;"$A$3"):INDIRECT('LOCCS Import'!$AA$3&amp;"$O$54"),7,)</f>
        <v>2.0699999999999998</v>
      </c>
      <c r="E15" s="57">
        <f ca="1">VLOOKUP(A15,INDIRECT('LOCCS Import'!$Z$3&amp;"$A$3"):INDIRECT('LOCCS Import'!$Z$3&amp;"$O$54"),7,)</f>
        <v>1.97</v>
      </c>
      <c r="F15" s="57">
        <f ca="1">VLOOKUP(A15,INDIRECT('LOCCS Import'!$Y$3&amp;"$A$3"):INDIRECT('LOCCS Import'!$Y$3&amp;"$O$54"),7,)</f>
        <v>1.97</v>
      </c>
      <c r="G15" s="57">
        <f ca="1">VLOOKUP(A15,INDIRECT('LOCCS Import'!$X$3&amp;"$A$3"):INDIRECT('LOCCS Import'!$X$3&amp;"$O$54"),7,)</f>
        <v>1.85</v>
      </c>
      <c r="H15" s="57">
        <f ca="1">VLOOKUP(A15,INDIRECT('LOCCS Import'!$W$3&amp;"$A$3"):INDIRECT('LOCCS Import'!$W$3&amp;"$O$54"),7,)</f>
        <v>2.73</v>
      </c>
      <c r="I15" s="57">
        <f ca="1">VLOOKUP(A15,INDIRECT('LOCCS Import'!$V$3&amp;"$A$3"):INDIRECT('LOCCS Import'!$V$3&amp;"$O$54"),7,)</f>
        <v>2.68</v>
      </c>
      <c r="J15" s="57">
        <f ca="1">VLOOKUP(A15,INDIRECT('LOCCS Import'!$U$3&amp;"$A$3"):INDIRECT('LOCCS Import'!$U$3&amp;"$O$54"),7,)</f>
        <v>2.68</v>
      </c>
      <c r="K15" s="57">
        <f ca="1">VLOOKUP(A15,INDIRECT('LOCCS Import'!$T$3&amp;"$A$3"):INDIRECT('LOCCS Import'!$T$3&amp;"$O$54"),7,)</f>
        <v>2.6</v>
      </c>
      <c r="L15" s="57">
        <f ca="1">VLOOKUP(A15,INDIRECT('LOCCS Import'!$S$3&amp;"$A$3"):INDIRECT('LOCCS Import'!$S$3&amp;"$O$54"),7,)</f>
        <v>2.5499999999999998</v>
      </c>
      <c r="M15" s="57">
        <f ca="1">VLOOKUP(A15,INDIRECT('LOCCS Import'!$R$3&amp;"$A$3"):INDIRECT('LOCCS Import'!$R$3&amp;"$O$54"),7,)</f>
        <v>2.4500000000000002</v>
      </c>
      <c r="N15" s="57">
        <f ca="1">VLOOKUP(A15,INDIRECT('LOCCS Import'!$Q$3&amp;"$A$3"):INDIRECT('LOCCS Import'!$Q$3&amp;"$O$54"),7,)</f>
        <v>2.37</v>
      </c>
      <c r="O15" s="57">
        <f ca="1">VLOOKUP(A15,INDIRECT('LOCCS Import'!$P$3&amp;"$A$3"):INDIRECT('LOCCS Import'!$P$3&amp;"$O$54"),7,)</f>
        <v>2.37</v>
      </c>
      <c r="P15" s="57">
        <f ca="1">VLOOKUP(A15,INDIRECT('LOCCS Import'!$O$3&amp;"$A$3"):INDIRECT('LOCCS Import'!$O$3&amp;"$O$54"),7,)</f>
        <v>2.19</v>
      </c>
      <c r="Q15" s="57">
        <f ca="1">VLOOKUP(A15,INDIRECT('LOCCS Import'!$N$3&amp;"$A$3"):INDIRECT('LOCCS Import'!$N$3&amp;"$O$54"),7,)</f>
        <v>2.1</v>
      </c>
      <c r="R15" s="57">
        <f ca="1">VLOOKUP(A15,INDIRECT('LOCCS Import'!$M$3&amp;"$A$3"):INDIRECT('LOCCS Import'!$M$3&amp;"$O$54"),7,)</f>
        <v>2.09</v>
      </c>
      <c r="S15" s="57">
        <f ca="1">VLOOKUP(A15,INDIRECT('LOCCS Import'!$L$3&amp;"$A$3"):INDIRECT('LOCCS Import'!$L$3&amp;"$O$54"),7,)</f>
        <v>1.98</v>
      </c>
      <c r="T15" s="57">
        <f ca="1">VLOOKUP(A15,INDIRECT('LOCCS Import'!$K$3&amp;"$A$3"):INDIRECT('LOCCS Import'!$K$3&amp;"$O$54"),7,)</f>
        <v>2.97</v>
      </c>
      <c r="U15" s="57">
        <f ca="1">VLOOKUP(A15,INDIRECT('LOCCS Import'!$J$3&amp;"$A$3"):INDIRECT('LOCCS Import'!$J$3&amp;"$O$54"),7,)</f>
        <v>2.92</v>
      </c>
      <c r="V15" s="57">
        <f ca="1">VLOOKUP(A15,INDIRECT('LOCCS Import'!$I$3&amp;"$A$3"):INDIRECT('LOCCS Import'!$I$3&amp;"$O$54"),7,)</f>
        <v>2.88</v>
      </c>
      <c r="W15" s="57">
        <f ca="1">VLOOKUP(A15,INDIRECT('LOCCS Import'!$H$3&amp;"$A$3"):INDIRECT('LOCCS Import'!$H$3&amp;"$O$54"),7,)</f>
        <v>2.81</v>
      </c>
      <c r="X15" s="57">
        <f ca="1">VLOOKUP(A15,INDIRECT('LOCCS Import'!$G$3&amp;"$A$3"):INDIRECT('LOCCS Import'!$G$3&amp;"$O$54"),7,)</f>
        <v>2.8</v>
      </c>
      <c r="Y15" s="57">
        <f ca="1">VLOOKUP(A15,INDIRECT('LOCCS Import'!$F$3&amp;"$A$3"):INDIRECT('LOCCS Import'!$F$3&amp;"$O$54"),7,)</f>
        <v>2.74</v>
      </c>
      <c r="Z15" s="57">
        <f ca="1">VLOOKUP(A15,INDIRECT('LOCCS Import'!$E$3&amp;"$A$3"):INDIRECT('LOCCS Import'!$E$3&amp;"$O$54"),7,)</f>
        <v>2.64</v>
      </c>
      <c r="AA15" s="57">
        <f>VLOOKUP(A15,template!$A$3:$P$54,7,)</f>
        <v>2.56</v>
      </c>
      <c r="AB15" s="55">
        <f t="shared" ca="1" si="0"/>
        <v>2.97</v>
      </c>
      <c r="AC15" s="57">
        <f t="shared" ca="1" si="1"/>
        <v>1.98</v>
      </c>
      <c r="AD15" s="58">
        <f t="shared" ca="1" si="2"/>
        <v>2.5566666666666662</v>
      </c>
      <c r="AE15" s="80">
        <f t="shared" ca="1" si="3"/>
        <v>15</v>
      </c>
      <c r="AF15" s="127"/>
      <c r="AG15" s="3">
        <f ca="1">VLOOKUP(A15,INDIRECT('LOCCS Import'!$AA$3&amp;"$A$3"):INDIRECT('LOCCS Import'!$AA$3&amp;"$O$54"),8,)</f>
        <v>0.86</v>
      </c>
      <c r="AH15" s="1">
        <f ca="1">VLOOKUP(A15,INDIRECT('LOCCS Import'!$Z$3&amp;"$A$3"):INDIRECT('LOCCS Import'!$Z$3&amp;"$O$54"),8,)</f>
        <v>0.86</v>
      </c>
      <c r="AI15" s="1">
        <f ca="1">VLOOKUP(A15,INDIRECT('LOCCS Import'!$Y$3&amp;"$A$3"):INDIRECT('LOCCS Import'!$Y$3&amp;"$O$54"),8,)</f>
        <v>0.79</v>
      </c>
      <c r="AJ15" s="1">
        <f ca="1">VLOOKUP(A15,INDIRECT('LOCCS Import'!$X$3&amp;"$A$3"):INDIRECT('LOCCS Import'!$X$3&amp;"$O$54"),8,)</f>
        <v>0.84</v>
      </c>
      <c r="AK15" s="1">
        <f ca="1">VLOOKUP(A15,INDIRECT('LOCCS Import'!$W$3&amp;"$A$3"):INDIRECT('LOCCS Import'!$W$3&amp;"$O$54"),8,)</f>
        <v>0.87</v>
      </c>
      <c r="AL15" s="1">
        <f ca="1">VLOOKUP(A15,INDIRECT('LOCCS Import'!$V$3&amp;"$A$3"):INDIRECT('LOCCS Import'!$V$3&amp;"$O$54"),8,)</f>
        <v>0.85</v>
      </c>
      <c r="AM15" s="1">
        <f ca="1">VLOOKUP(A15,INDIRECT('LOCCS Import'!$U$3&amp;"$A$3"):INDIRECT('LOCCS Import'!$U$3&amp;"$O$54"),8,)</f>
        <v>0.79</v>
      </c>
      <c r="AN15" s="1">
        <f ca="1">VLOOKUP(A15,INDIRECT('LOCCS Import'!$T$3&amp;"$A$3"):INDIRECT('LOCCS Import'!$T$3&amp;"$O$54"),8,)</f>
        <v>0.78</v>
      </c>
      <c r="AO15" s="1">
        <f ca="1">VLOOKUP(A15,INDIRECT('LOCCS Import'!$S$3&amp;"$A$3"):INDIRECT('LOCCS Import'!$S$3&amp;"$O$54"),8,)</f>
        <v>0.76</v>
      </c>
      <c r="AP15" s="1">
        <f ca="1">VLOOKUP(A15,INDIRECT('LOCCS Import'!$R$3&amp;"$A$3"):INDIRECT('LOCCS Import'!$R$3&amp;"$O$54"),8,)</f>
        <v>0.86</v>
      </c>
      <c r="AQ15" s="1">
        <f ca="1">VLOOKUP(A15,INDIRECT('LOCCS Import'!$Q$3&amp;"$A$3"):INDIRECT('LOCCS Import'!$Q$3&amp;"$O$54"),8,)</f>
        <v>0.87</v>
      </c>
      <c r="AR15" s="1">
        <f ca="1">VLOOKUP(A15,INDIRECT('LOCCS Import'!$P$3&amp;"$A$3"):INDIRECT('LOCCS Import'!$P$3&amp;"$O$54"),8,)</f>
        <v>0.87</v>
      </c>
      <c r="AS15" s="1">
        <f ca="1">VLOOKUP(A15,INDIRECT('LOCCS Import'!$O$3&amp;"$A$3"):INDIRECT('LOCCS Import'!$O$3&amp;"$O$54"),8,)</f>
        <v>0.88</v>
      </c>
      <c r="AT15" s="1">
        <f ca="1">VLOOKUP(A15,INDIRECT('LOCCS Import'!$N$3&amp;"$A$3"):INDIRECT('LOCCS Import'!$N$3&amp;"$O$54"),8,)</f>
        <v>0.87</v>
      </c>
      <c r="AU15" s="1">
        <f ca="1">VLOOKUP(A15,INDIRECT('LOCCS Import'!$M$3&amp;"$A$3"):INDIRECT('LOCCS Import'!$M$3&amp;"$O$54"),8,)</f>
        <v>0.88</v>
      </c>
      <c r="AV15" s="1">
        <f ca="1">VLOOKUP(A15,INDIRECT('LOCCS Import'!$L$3&amp;"$A$3"):INDIRECT('LOCCS Import'!$L$3&amp;"$O$54"),8,)</f>
        <v>0.86</v>
      </c>
      <c r="AW15" s="1">
        <f ca="1">VLOOKUP(A15,INDIRECT('LOCCS Import'!$K$3&amp;"$A$3"):INDIRECT('LOCCS Import'!$K$3&amp;"$O$54"),8,)</f>
        <v>0.76</v>
      </c>
      <c r="AX15" s="1">
        <f ca="1">VLOOKUP(A15,INDIRECT('LOCCS Import'!$J$3&amp;"$A$3"):INDIRECT('LOCCS Import'!$J$3&amp;"$O$54"),8,)</f>
        <v>0.77</v>
      </c>
      <c r="AY15" s="1">
        <f ca="1">VLOOKUP(A15,INDIRECT('LOCCS Import'!$I$3&amp;"$A$3"):INDIRECT('LOCCS Import'!$I$3&amp;"$O$54"),8,)</f>
        <v>0.81</v>
      </c>
      <c r="AZ15" s="1">
        <f ca="1">VLOOKUP(A15,INDIRECT('LOCCS Import'!$H$3&amp;"$A$3"):INDIRECT('LOCCS Import'!$H$3&amp;"$O$54"),8,)</f>
        <v>0.8</v>
      </c>
      <c r="BA15" s="1">
        <f ca="1">VLOOKUP(A15,INDIRECT('LOCCS Import'!$G$3&amp;"$A$3"):INDIRECT('LOCCS Import'!$G$3&amp;"$O$54"),8,)</f>
        <v>0.75</v>
      </c>
      <c r="BB15" s="1">
        <f ca="1">VLOOKUP(A15,INDIRECT('LOCCS Import'!$F$3&amp;"$A$3"):INDIRECT('LOCCS Import'!$F$3&amp;"$O$54"),8,)</f>
        <v>0.71</v>
      </c>
      <c r="BC15" s="1">
        <f ca="1">VLOOKUP(A15,INDIRECT('LOCCS Import'!$E$3&amp;"$A$3"):INDIRECT('LOCCS Import'!$E$3&amp;"$O$54"),8,)</f>
        <v>0.73</v>
      </c>
      <c r="BD15" s="2">
        <f>VLOOKUP(A15,template!$A$3:$P$54,8,)</f>
        <v>0.72</v>
      </c>
      <c r="BE15" s="2">
        <f t="shared" ca="1" si="4"/>
        <v>0.79500000000000004</v>
      </c>
      <c r="BF15" s="109">
        <f t="shared" ca="1" si="5"/>
        <v>42</v>
      </c>
    </row>
    <row r="16" spans="1:58" x14ac:dyDescent="0.3">
      <c r="A16" s="64" t="s">
        <v>51</v>
      </c>
      <c r="B16" s="61" t="s">
        <v>167</v>
      </c>
      <c r="C16" s="61" t="s">
        <v>170</v>
      </c>
      <c r="D16" s="57">
        <f ca="1">VLOOKUP(A16,INDIRECT('LOCCS Import'!$AA$3&amp;"$A$3"):INDIRECT('LOCCS Import'!$AA$3&amp;"$O$54"),7,)</f>
        <v>2.66</v>
      </c>
      <c r="E16" s="57">
        <f ca="1">VLOOKUP(A16,INDIRECT('LOCCS Import'!$Z$3&amp;"$A$3"):INDIRECT('LOCCS Import'!$Z$3&amp;"$O$54"),7,)</f>
        <v>2.58</v>
      </c>
      <c r="F16" s="57">
        <f ca="1">VLOOKUP(A16,INDIRECT('LOCCS Import'!$Y$3&amp;"$A$3"):INDIRECT('LOCCS Import'!$Y$3&amp;"$O$54"),7,)</f>
        <v>2.56</v>
      </c>
      <c r="G16" s="57">
        <f ca="1">VLOOKUP(A16,INDIRECT('LOCCS Import'!$X$3&amp;"$A$3"):INDIRECT('LOCCS Import'!$X$3&amp;"$O$54"),7,)</f>
        <v>2.46</v>
      </c>
      <c r="H16" s="57">
        <f ca="1">VLOOKUP(A16,INDIRECT('LOCCS Import'!$W$3&amp;"$A$3"):INDIRECT('LOCCS Import'!$W$3&amp;"$O$54"),7,)</f>
        <v>2.38</v>
      </c>
      <c r="I16" s="57">
        <f ca="1">VLOOKUP(A16,INDIRECT('LOCCS Import'!$V$3&amp;"$A$3"):INDIRECT('LOCCS Import'!$V$3&amp;"$O$54"),7,)</f>
        <v>2.35</v>
      </c>
      <c r="J16" s="57">
        <f ca="1">VLOOKUP(A16,INDIRECT('LOCCS Import'!$U$3&amp;"$A$3"):INDIRECT('LOCCS Import'!$U$3&amp;"$O$54"),7,)</f>
        <v>3.34</v>
      </c>
      <c r="K16" s="57">
        <f ca="1">VLOOKUP(A16,INDIRECT('LOCCS Import'!$T$3&amp;"$A$3"):INDIRECT('LOCCS Import'!$T$3&amp;"$O$54"),7,)</f>
        <v>3.27</v>
      </c>
      <c r="L16" s="57">
        <f ca="1">VLOOKUP(A16,INDIRECT('LOCCS Import'!$S$3&amp;"$A$3"):INDIRECT('LOCCS Import'!$S$3&amp;"$O$54"),7,)</f>
        <v>3.19</v>
      </c>
      <c r="M16" s="57">
        <f ca="1">VLOOKUP(A16,INDIRECT('LOCCS Import'!$R$3&amp;"$A$3"):INDIRECT('LOCCS Import'!$R$3&amp;"$O$54"),7,)</f>
        <v>3.15</v>
      </c>
      <c r="N16" s="57">
        <f ca="1">VLOOKUP(A16,INDIRECT('LOCCS Import'!$Q$3&amp;"$A$3"):INDIRECT('LOCCS Import'!$Q$3&amp;"$O$54"),7,)</f>
        <v>3.08</v>
      </c>
      <c r="O16" s="57">
        <f ca="1">VLOOKUP(A16,INDIRECT('LOCCS Import'!$P$3&amp;"$A$3"):INDIRECT('LOCCS Import'!$P$3&amp;"$O$54"),7,)</f>
        <v>3.08</v>
      </c>
      <c r="P16" s="57">
        <f ca="1">VLOOKUP(A16,INDIRECT('LOCCS Import'!$O$3&amp;"$A$3"):INDIRECT('LOCCS Import'!$O$3&amp;"$O$54"),7,)</f>
        <v>2.92</v>
      </c>
      <c r="Q16" s="57">
        <f ca="1">VLOOKUP(A16,INDIRECT('LOCCS Import'!$N$3&amp;"$A$3"):INDIRECT('LOCCS Import'!$N$3&amp;"$O$54"),7,)</f>
        <v>2.82</v>
      </c>
      <c r="R16" s="57">
        <f ca="1">VLOOKUP(A16,INDIRECT('LOCCS Import'!$M$3&amp;"$A$3"):INDIRECT('LOCCS Import'!$M$3&amp;"$O$54"),7,)</f>
        <v>2.75</v>
      </c>
      <c r="S16" s="57">
        <f ca="1">VLOOKUP(A16,INDIRECT('LOCCS Import'!$L$3&amp;"$A$3"):INDIRECT('LOCCS Import'!$L$3&amp;"$O$54"),7,)</f>
        <v>2.67</v>
      </c>
      <c r="T16" s="57">
        <f ca="1">VLOOKUP(A16,INDIRECT('LOCCS Import'!$K$3&amp;"$A$3"):INDIRECT('LOCCS Import'!$K$3&amp;"$O$54"),7,)</f>
        <v>3.6</v>
      </c>
      <c r="U16" s="57">
        <f ca="1">VLOOKUP(A16,INDIRECT('LOCCS Import'!$J$3&amp;"$A$3"):INDIRECT('LOCCS Import'!$J$3&amp;"$O$54"),7,)</f>
        <v>3.49</v>
      </c>
      <c r="V16" s="57">
        <f ca="1">VLOOKUP(A16,INDIRECT('LOCCS Import'!$I$3&amp;"$A$3"):INDIRECT('LOCCS Import'!$I$3&amp;"$O$54"),7,)</f>
        <v>3.45</v>
      </c>
      <c r="W16" s="57">
        <f ca="1">VLOOKUP(A16,INDIRECT('LOCCS Import'!$H$3&amp;"$A$3"):INDIRECT('LOCCS Import'!$H$3&amp;"$O$54"),7,)</f>
        <v>3.39</v>
      </c>
      <c r="X16" s="57">
        <f ca="1">VLOOKUP(A16,INDIRECT('LOCCS Import'!$G$3&amp;"$A$3"):INDIRECT('LOCCS Import'!$G$3&amp;"$O$54"),7,)</f>
        <v>3.35</v>
      </c>
      <c r="Y16" s="57">
        <f ca="1">VLOOKUP(A16,INDIRECT('LOCCS Import'!$F$3&amp;"$A$3"):INDIRECT('LOCCS Import'!$F$3&amp;"$O$54"),7,)</f>
        <v>3.29</v>
      </c>
      <c r="Z16" s="57">
        <f ca="1">VLOOKUP(A16,INDIRECT('LOCCS Import'!$E$3&amp;"$A$3"):INDIRECT('LOCCS Import'!$E$3&amp;"$O$54"),7,)</f>
        <v>3.27</v>
      </c>
      <c r="AA16" s="57">
        <f>VLOOKUP(A16,template!$A$3:$P$54,7,)</f>
        <v>3.19</v>
      </c>
      <c r="AB16" s="55">
        <f t="shared" ca="1" si="0"/>
        <v>3.6</v>
      </c>
      <c r="AC16" s="57">
        <f t="shared" ca="1" si="1"/>
        <v>2.67</v>
      </c>
      <c r="AD16" s="58">
        <f t="shared" ca="1" si="2"/>
        <v>3.1824999999999997</v>
      </c>
      <c r="AE16" s="80">
        <f t="shared" ca="1" si="3"/>
        <v>28</v>
      </c>
      <c r="AF16" s="127"/>
      <c r="AG16" s="3">
        <f ca="1">VLOOKUP(A16,INDIRECT('LOCCS Import'!$AA$3&amp;"$A$3"):INDIRECT('LOCCS Import'!$AA$3&amp;"$O$54"),8,)</f>
        <v>0.82</v>
      </c>
      <c r="AH16" s="1">
        <f ca="1">VLOOKUP(A16,INDIRECT('LOCCS Import'!$Z$3&amp;"$A$3"):INDIRECT('LOCCS Import'!$Z$3&amp;"$O$54"),8,)</f>
        <v>0.82</v>
      </c>
      <c r="AI16" s="1">
        <f ca="1">VLOOKUP(A16,INDIRECT('LOCCS Import'!$Y$3&amp;"$A$3"):INDIRECT('LOCCS Import'!$Y$3&amp;"$O$54"),8,)</f>
        <v>0.75</v>
      </c>
      <c r="AJ16" s="1">
        <f ca="1">VLOOKUP(A16,INDIRECT('LOCCS Import'!$X$3&amp;"$A$3"):INDIRECT('LOCCS Import'!$X$3&amp;"$O$54"),8,)</f>
        <v>0.76</v>
      </c>
      <c r="AK16" s="1">
        <f ca="1">VLOOKUP(A16,INDIRECT('LOCCS Import'!$W$3&amp;"$A$3"):INDIRECT('LOCCS Import'!$W$3&amp;"$O$54"),8,)</f>
        <v>0.72</v>
      </c>
      <c r="AL16" s="1">
        <f ca="1">VLOOKUP(A16,INDIRECT('LOCCS Import'!$V$3&amp;"$A$3"):INDIRECT('LOCCS Import'!$V$3&amp;"$O$54"),8,)</f>
        <v>0.72</v>
      </c>
      <c r="AM16" s="1">
        <f ca="1">VLOOKUP(A16,INDIRECT('LOCCS Import'!$U$3&amp;"$A$3"):INDIRECT('LOCCS Import'!$U$3&amp;"$O$54"),8,)</f>
        <v>0.7</v>
      </c>
      <c r="AN16" s="1">
        <f ca="1">VLOOKUP(A16,INDIRECT('LOCCS Import'!$T$3&amp;"$A$3"):INDIRECT('LOCCS Import'!$T$3&amp;"$O$54"),8,)</f>
        <v>0.66</v>
      </c>
      <c r="AO16" s="1">
        <f ca="1">VLOOKUP(A16,INDIRECT('LOCCS Import'!$S$3&amp;"$A$3"):INDIRECT('LOCCS Import'!$S$3&amp;"$O$54"),8,)</f>
        <v>0.69</v>
      </c>
      <c r="AP16" s="1">
        <f ca="1">VLOOKUP(A16,INDIRECT('LOCCS Import'!$R$3&amp;"$A$3"):INDIRECT('LOCCS Import'!$R$3&amp;"$O$54"),8,)</f>
        <v>0.67</v>
      </c>
      <c r="AQ16" s="1">
        <f ca="1">VLOOKUP(A16,INDIRECT('LOCCS Import'!$Q$3&amp;"$A$3"):INDIRECT('LOCCS Import'!$Q$3&amp;"$O$54"),8,)</f>
        <v>0.69</v>
      </c>
      <c r="AR16" s="1">
        <f ca="1">VLOOKUP(A16,INDIRECT('LOCCS Import'!$P$3&amp;"$A$3"):INDIRECT('LOCCS Import'!$P$3&amp;"$O$54"),8,)</f>
        <v>0.69</v>
      </c>
      <c r="AS16" s="1">
        <f ca="1">VLOOKUP(A16,INDIRECT('LOCCS Import'!$O$3&amp;"$A$3"):INDIRECT('LOCCS Import'!$O$3&amp;"$O$54"),8,)</f>
        <v>0.8</v>
      </c>
      <c r="AT16" s="1">
        <f ca="1">VLOOKUP(A16,INDIRECT('LOCCS Import'!$N$3&amp;"$A$3"):INDIRECT('LOCCS Import'!$N$3&amp;"$O$54"),8,)</f>
        <v>0.81</v>
      </c>
      <c r="AU16" s="1">
        <f ca="1">VLOOKUP(A16,INDIRECT('LOCCS Import'!$M$3&amp;"$A$3"):INDIRECT('LOCCS Import'!$M$3&amp;"$O$54"),8,)</f>
        <v>0.85</v>
      </c>
      <c r="AV16" s="1">
        <f ca="1">VLOOKUP(A16,INDIRECT('LOCCS Import'!$L$3&amp;"$A$3"):INDIRECT('LOCCS Import'!$L$3&amp;"$O$54"),8,)</f>
        <v>0.84</v>
      </c>
      <c r="AW16" s="1">
        <f ca="1">VLOOKUP(A16,INDIRECT('LOCCS Import'!$K$3&amp;"$A$3"):INDIRECT('LOCCS Import'!$K$3&amp;"$O$54"),8,)</f>
        <v>0.8</v>
      </c>
      <c r="AX16" s="1">
        <f ca="1">VLOOKUP(A16,INDIRECT('LOCCS Import'!$J$3&amp;"$A$3"):INDIRECT('LOCCS Import'!$J$3&amp;"$O$54"),8,)</f>
        <v>0.9</v>
      </c>
      <c r="AY16" s="1">
        <f ca="1">VLOOKUP(A16,INDIRECT('LOCCS Import'!$I$3&amp;"$A$3"):INDIRECT('LOCCS Import'!$I$3&amp;"$O$54"),8,)</f>
        <v>0.88</v>
      </c>
      <c r="AZ16" s="1">
        <f ca="1">VLOOKUP(A16,INDIRECT('LOCCS Import'!$H$3&amp;"$A$3"):INDIRECT('LOCCS Import'!$H$3&amp;"$O$54"),8,)</f>
        <v>0.87</v>
      </c>
      <c r="BA16" s="1">
        <f ca="1">VLOOKUP(A16,INDIRECT('LOCCS Import'!$G$3&amp;"$A$3"):INDIRECT('LOCCS Import'!$G$3&amp;"$O$54"),8,)</f>
        <v>0.84</v>
      </c>
      <c r="BB16" s="1">
        <f ca="1">VLOOKUP(A16,INDIRECT('LOCCS Import'!$F$3&amp;"$A$3"):INDIRECT('LOCCS Import'!$F$3&amp;"$O$54"),8,)</f>
        <v>0.85</v>
      </c>
      <c r="BC16" s="1">
        <f ca="1">VLOOKUP(A16,INDIRECT('LOCCS Import'!$E$3&amp;"$A$3"):INDIRECT('LOCCS Import'!$E$3&amp;"$O$54"),8,)</f>
        <v>0.81</v>
      </c>
      <c r="BD16" s="2">
        <f>VLOOKUP(A16,template!$A$3:$P$54,8,)</f>
        <v>0.8</v>
      </c>
      <c r="BE16" s="2">
        <f t="shared" ca="1" si="4"/>
        <v>0.83750000000000002</v>
      </c>
      <c r="BF16" s="109">
        <f t="shared" ca="1" si="5"/>
        <v>38</v>
      </c>
    </row>
    <row r="17" spans="1:58" x14ac:dyDescent="0.3">
      <c r="A17" s="64" t="s">
        <v>55</v>
      </c>
      <c r="B17" s="61" t="s">
        <v>167</v>
      </c>
      <c r="C17" s="61" t="s">
        <v>171</v>
      </c>
      <c r="D17" s="57">
        <f ca="1">VLOOKUP(A17,INDIRECT('LOCCS Import'!$AA$3&amp;"$A$3"):INDIRECT('LOCCS Import'!$AA$3&amp;"$O$54"),7,)</f>
        <v>2.41</v>
      </c>
      <c r="E17" s="57">
        <f ca="1">VLOOKUP(A17,INDIRECT('LOCCS Import'!$Z$3&amp;"$A$3"):INDIRECT('LOCCS Import'!$Z$3&amp;"$O$54"),7,)</f>
        <v>2.33</v>
      </c>
      <c r="F17" s="57">
        <f ca="1">VLOOKUP(A17,INDIRECT('LOCCS Import'!$Y$3&amp;"$A$3"):INDIRECT('LOCCS Import'!$Y$3&amp;"$O$54"),7,)</f>
        <v>2.3199999999999998</v>
      </c>
      <c r="G17" s="57">
        <f ca="1">VLOOKUP(A17,INDIRECT('LOCCS Import'!$X$3&amp;"$A$3"):INDIRECT('LOCCS Import'!$X$3&amp;"$O$54"),7,)</f>
        <v>2.25</v>
      </c>
      <c r="H17" s="57">
        <f ca="1">VLOOKUP(A17,INDIRECT('LOCCS Import'!$W$3&amp;"$A$3"):INDIRECT('LOCCS Import'!$W$3&amp;"$O$54"),7,)</f>
        <v>2.1800000000000002</v>
      </c>
      <c r="I17" s="57">
        <f ca="1">VLOOKUP(A17,INDIRECT('LOCCS Import'!$V$3&amp;"$A$3"):INDIRECT('LOCCS Import'!$V$3&amp;"$O$54"),7,)</f>
        <v>2.13</v>
      </c>
      <c r="J17" s="57">
        <f ca="1">VLOOKUP(A17,INDIRECT('LOCCS Import'!$U$3&amp;"$A$3"):INDIRECT('LOCCS Import'!$U$3&amp;"$O$54"),7,)</f>
        <v>3.07</v>
      </c>
      <c r="K17" s="57">
        <f ca="1">VLOOKUP(A17,INDIRECT('LOCCS Import'!$T$3&amp;"$A$3"):INDIRECT('LOCCS Import'!$T$3&amp;"$O$54"),7,)</f>
        <v>3.01</v>
      </c>
      <c r="L17" s="57">
        <f ca="1">VLOOKUP(A17,INDIRECT('LOCCS Import'!$S$3&amp;"$A$3"):INDIRECT('LOCCS Import'!$S$3&amp;"$O$54"),7,)</f>
        <v>2.9</v>
      </c>
      <c r="M17" s="57">
        <f ca="1">VLOOKUP(A17,INDIRECT('LOCCS Import'!$R$3&amp;"$A$3"):INDIRECT('LOCCS Import'!$R$3&amp;"$O$54"),7,)</f>
        <v>2.87</v>
      </c>
      <c r="N17" s="57">
        <f ca="1">VLOOKUP(A17,INDIRECT('LOCCS Import'!$Q$3&amp;"$A$3"):INDIRECT('LOCCS Import'!$Q$3&amp;"$O$54"),7,)</f>
        <v>2.83</v>
      </c>
      <c r="O17" s="57">
        <f ca="1">VLOOKUP(A17,INDIRECT('LOCCS Import'!$P$3&amp;"$A$3"):INDIRECT('LOCCS Import'!$P$3&amp;"$O$54"),7,)</f>
        <v>2.83</v>
      </c>
      <c r="P17" s="57">
        <f ca="1">VLOOKUP(A17,INDIRECT('LOCCS Import'!$O$3&amp;"$A$3"):INDIRECT('LOCCS Import'!$O$3&amp;"$O$54"),7,)</f>
        <v>2.76</v>
      </c>
      <c r="Q17" s="57">
        <f ca="1">VLOOKUP(A17,INDIRECT('LOCCS Import'!$N$3&amp;"$A$3"):INDIRECT('LOCCS Import'!$N$3&amp;"$O$54"),7,)</f>
        <v>2.76</v>
      </c>
      <c r="R17" s="57">
        <f ca="1">VLOOKUP(A17,INDIRECT('LOCCS Import'!$M$3&amp;"$A$3"):INDIRECT('LOCCS Import'!$M$3&amp;"$O$54"),7,)</f>
        <v>2.76</v>
      </c>
      <c r="S17" s="57">
        <f ca="1">VLOOKUP(A17,INDIRECT('LOCCS Import'!$L$3&amp;"$A$3"):INDIRECT('LOCCS Import'!$L$3&amp;"$O$54"),7,)</f>
        <v>2.5499999999999998</v>
      </c>
      <c r="T17" s="57">
        <f ca="1">VLOOKUP(A17,INDIRECT('LOCCS Import'!$K$3&amp;"$A$3"):INDIRECT('LOCCS Import'!$K$3&amp;"$O$54"),7,)</f>
        <v>3.46</v>
      </c>
      <c r="U17" s="57">
        <f ca="1">VLOOKUP(A17,INDIRECT('LOCCS Import'!$J$3&amp;"$A$3"):INDIRECT('LOCCS Import'!$J$3&amp;"$O$54"),7,)</f>
        <v>3.45</v>
      </c>
      <c r="V17" s="57">
        <f ca="1">VLOOKUP(A17,INDIRECT('LOCCS Import'!$I$3&amp;"$A$3"):INDIRECT('LOCCS Import'!$I$3&amp;"$O$54"),7,)</f>
        <v>3.39</v>
      </c>
      <c r="W17" s="57">
        <f ca="1">VLOOKUP(A17,INDIRECT('LOCCS Import'!$H$3&amp;"$A$3"):INDIRECT('LOCCS Import'!$H$3&amp;"$O$54"),7,)</f>
        <v>3.34</v>
      </c>
      <c r="X17" s="57">
        <f ca="1">VLOOKUP(A17,INDIRECT('LOCCS Import'!$G$3&amp;"$A$3"):INDIRECT('LOCCS Import'!$G$3&amp;"$O$54"),7,)</f>
        <v>3.31</v>
      </c>
      <c r="Y17" s="57">
        <f ca="1">VLOOKUP(A17,INDIRECT('LOCCS Import'!$F$3&amp;"$A$3"):INDIRECT('LOCCS Import'!$F$3&amp;"$O$54"),7,)</f>
        <v>3.27</v>
      </c>
      <c r="Z17" s="57">
        <f ca="1">VLOOKUP(A17,INDIRECT('LOCCS Import'!$E$3&amp;"$A$3"):INDIRECT('LOCCS Import'!$E$3&amp;"$O$54"),7,)</f>
        <v>3.21</v>
      </c>
      <c r="AA17" s="57">
        <f>VLOOKUP(A17,template!$A$3:$P$54,7,)</f>
        <v>3.18</v>
      </c>
      <c r="AB17" s="55">
        <f t="shared" ca="1" si="0"/>
        <v>3.46</v>
      </c>
      <c r="AC17" s="57">
        <f t="shared" ca="1" si="1"/>
        <v>2.5499999999999998</v>
      </c>
      <c r="AD17" s="58">
        <f t="shared" ca="1" si="2"/>
        <v>3.1199999999999997</v>
      </c>
      <c r="AE17" s="80">
        <f t="shared" ca="1" si="3"/>
        <v>27</v>
      </c>
      <c r="AF17" s="127"/>
      <c r="AG17" s="3">
        <f ca="1">VLOOKUP(A17,INDIRECT('LOCCS Import'!$AA$3&amp;"$A$3"):INDIRECT('LOCCS Import'!$AA$3&amp;"$O$54"),8,)</f>
        <v>0.9</v>
      </c>
      <c r="AH17" s="1">
        <f ca="1">VLOOKUP(A17,INDIRECT('LOCCS Import'!$Z$3&amp;"$A$3"):INDIRECT('LOCCS Import'!$Z$3&amp;"$O$54"),8,)</f>
        <v>0.93</v>
      </c>
      <c r="AI17" s="1">
        <f ca="1">VLOOKUP(A17,INDIRECT('LOCCS Import'!$Y$3&amp;"$A$3"):INDIRECT('LOCCS Import'!$Y$3&amp;"$O$54"),8,)</f>
        <v>0.86</v>
      </c>
      <c r="AJ17" s="1">
        <f ca="1">VLOOKUP(A17,INDIRECT('LOCCS Import'!$X$3&amp;"$A$3"):INDIRECT('LOCCS Import'!$X$3&amp;"$O$54"),8,)</f>
        <v>0.81</v>
      </c>
      <c r="AK17" s="1">
        <f ca="1">VLOOKUP(A17,INDIRECT('LOCCS Import'!$W$3&amp;"$A$3"):INDIRECT('LOCCS Import'!$W$3&amp;"$O$54"),8,)</f>
        <v>0.79</v>
      </c>
      <c r="AL17" s="1">
        <f ca="1">VLOOKUP(A17,INDIRECT('LOCCS Import'!$V$3&amp;"$A$3"):INDIRECT('LOCCS Import'!$V$3&amp;"$O$54"),8,)</f>
        <v>0.77</v>
      </c>
      <c r="AM17" s="1">
        <f ca="1">VLOOKUP(A17,INDIRECT('LOCCS Import'!$U$3&amp;"$A$3"):INDIRECT('LOCCS Import'!$U$3&amp;"$O$54"),8,)</f>
        <v>0.82</v>
      </c>
      <c r="AN17" s="1">
        <f ca="1">VLOOKUP(A17,INDIRECT('LOCCS Import'!$T$3&amp;"$A$3"):INDIRECT('LOCCS Import'!$T$3&amp;"$O$54"),8,)</f>
        <v>0.78</v>
      </c>
      <c r="AO17" s="1">
        <f ca="1">VLOOKUP(A17,INDIRECT('LOCCS Import'!$S$3&amp;"$A$3"):INDIRECT('LOCCS Import'!$S$3&amp;"$O$54"),8,)</f>
        <v>0.79</v>
      </c>
      <c r="AP17" s="1">
        <f ca="1">VLOOKUP(A17,INDIRECT('LOCCS Import'!$R$3&amp;"$A$3"):INDIRECT('LOCCS Import'!$R$3&amp;"$O$54"),8,)</f>
        <v>0.72</v>
      </c>
      <c r="AQ17" s="1">
        <f ca="1">VLOOKUP(A17,INDIRECT('LOCCS Import'!$Q$3&amp;"$A$3"):INDIRECT('LOCCS Import'!$Q$3&amp;"$O$54"),8,)</f>
        <v>0.68</v>
      </c>
      <c r="AR17" s="1">
        <f ca="1">VLOOKUP(A17,INDIRECT('LOCCS Import'!$P$3&amp;"$A$3"):INDIRECT('LOCCS Import'!$P$3&amp;"$O$54"),8,)</f>
        <v>0.68</v>
      </c>
      <c r="AS17" s="1">
        <f ca="1">VLOOKUP(A17,INDIRECT('LOCCS Import'!$O$3&amp;"$A$3"):INDIRECT('LOCCS Import'!$O$3&amp;"$O$54"),8,)</f>
        <v>0.65</v>
      </c>
      <c r="AT17" s="1">
        <f ca="1">VLOOKUP(A17,INDIRECT('LOCCS Import'!$N$3&amp;"$A$3"):INDIRECT('LOCCS Import'!$N$3&amp;"$O$54"),8,)</f>
        <v>0.56999999999999995</v>
      </c>
      <c r="AU17" s="1">
        <f ca="1">VLOOKUP(A17,INDIRECT('LOCCS Import'!$M$3&amp;"$A$3"):INDIRECT('LOCCS Import'!$M$3&amp;"$O$54"),8,)</f>
        <v>0.56000000000000005</v>
      </c>
      <c r="AV17" s="1">
        <f ca="1">VLOOKUP(A17,INDIRECT('LOCCS Import'!$L$3&amp;"$A$3"):INDIRECT('LOCCS Import'!$L$3&amp;"$O$54"),8,)</f>
        <v>0.71</v>
      </c>
      <c r="AW17" s="1">
        <f ca="1">VLOOKUP(A17,INDIRECT('LOCCS Import'!$K$3&amp;"$A$3"):INDIRECT('LOCCS Import'!$K$3&amp;"$O$54"),8,)</f>
        <v>0.67</v>
      </c>
      <c r="AX17" s="1">
        <f ca="1">VLOOKUP(A17,INDIRECT('LOCCS Import'!$J$3&amp;"$A$3"):INDIRECT('LOCCS Import'!$J$3&amp;"$O$54"),8,)</f>
        <v>0.66</v>
      </c>
      <c r="AY17" s="1">
        <f ca="1">VLOOKUP(A17,INDIRECT('LOCCS Import'!$I$3&amp;"$A$3"):INDIRECT('LOCCS Import'!$I$3&amp;"$O$54"),8,)</f>
        <v>0.66</v>
      </c>
      <c r="AZ17" s="1">
        <f ca="1">VLOOKUP(A17,INDIRECT('LOCCS Import'!$H$3&amp;"$A$3"):INDIRECT('LOCCS Import'!$H$3&amp;"$O$54"),8,)</f>
        <v>0.65</v>
      </c>
      <c r="BA17" s="1">
        <f ca="1">VLOOKUP(A17,INDIRECT('LOCCS Import'!$G$3&amp;"$A$3"):INDIRECT('LOCCS Import'!$G$3&amp;"$O$54"),8,)</f>
        <v>0.56000000000000005</v>
      </c>
      <c r="BB17" s="1">
        <f ca="1">VLOOKUP(A17,INDIRECT('LOCCS Import'!$F$3&amp;"$A$3"):INDIRECT('LOCCS Import'!$F$3&amp;"$O$54"),8,)</f>
        <v>0.57999999999999996</v>
      </c>
      <c r="BC17" s="1">
        <f ca="1">VLOOKUP(A17,INDIRECT('LOCCS Import'!$E$3&amp;"$A$3"):INDIRECT('LOCCS Import'!$E$3&amp;"$O$54"),8,)</f>
        <v>0.6</v>
      </c>
      <c r="BD17" s="2">
        <f>VLOOKUP(A17,template!$A$3:$P$54,8,)</f>
        <v>0.61</v>
      </c>
      <c r="BE17" s="2">
        <f t="shared" ca="1" si="4"/>
        <v>0.62333333333333341</v>
      </c>
      <c r="BF17" s="109">
        <f t="shared" ca="1" si="5"/>
        <v>47</v>
      </c>
    </row>
    <row r="18" spans="1:58" x14ac:dyDescent="0.3">
      <c r="A18" s="64" t="s">
        <v>32</v>
      </c>
      <c r="B18" s="61" t="s">
        <v>157</v>
      </c>
      <c r="C18" s="61" t="s">
        <v>172</v>
      </c>
      <c r="D18" s="57">
        <f ca="1">VLOOKUP(A18,INDIRECT('LOCCS Import'!$AA$3&amp;"$A$3"):INDIRECT('LOCCS Import'!$AA$3&amp;"$O$54"),7,)</f>
        <v>3.5</v>
      </c>
      <c r="E18" s="57">
        <f ca="1">VLOOKUP(A18,INDIRECT('LOCCS Import'!$Z$3&amp;"$A$3"):INDIRECT('LOCCS Import'!$Z$3&amp;"$O$54"),7,)</f>
        <v>3.4</v>
      </c>
      <c r="F18" s="57">
        <f ca="1">VLOOKUP(A18,INDIRECT('LOCCS Import'!$Y$3&amp;"$A$3"):INDIRECT('LOCCS Import'!$Y$3&amp;"$O$54"),7,)</f>
        <v>3.36</v>
      </c>
      <c r="G18" s="57">
        <f ca="1">VLOOKUP(A18,INDIRECT('LOCCS Import'!$X$3&amp;"$A$3"):INDIRECT('LOCCS Import'!$X$3&amp;"$O$54"),7,)</f>
        <v>3.34</v>
      </c>
      <c r="H18" s="57">
        <f ca="1">VLOOKUP(A18,INDIRECT('LOCCS Import'!$W$3&amp;"$A$3"):INDIRECT('LOCCS Import'!$W$3&amp;"$O$54"),7,)</f>
        <v>3.3</v>
      </c>
      <c r="I18" s="57">
        <f ca="1">VLOOKUP(A18,INDIRECT('LOCCS Import'!$V$3&amp;"$A$3"):INDIRECT('LOCCS Import'!$V$3&amp;"$O$54"),7,)</f>
        <v>4.2699999999999996</v>
      </c>
      <c r="J18" s="57">
        <f ca="1">VLOOKUP(A18,INDIRECT('LOCCS Import'!$U$3&amp;"$A$3"):INDIRECT('LOCCS Import'!$U$3&amp;"$O$54"),7,)</f>
        <v>4.2</v>
      </c>
      <c r="K18" s="57">
        <f ca="1">VLOOKUP(A18,INDIRECT('LOCCS Import'!$T$3&amp;"$A$3"):INDIRECT('LOCCS Import'!$T$3&amp;"$O$54"),7,)</f>
        <v>4.1399999999999997</v>
      </c>
      <c r="L18" s="57">
        <f ca="1">VLOOKUP(A18,INDIRECT('LOCCS Import'!$S$3&amp;"$A$3"):INDIRECT('LOCCS Import'!$S$3&amp;"$O$54"),7,)</f>
        <v>4.1100000000000003</v>
      </c>
      <c r="M18" s="57">
        <f ca="1">VLOOKUP(A18,INDIRECT('LOCCS Import'!$R$3&amp;"$A$3"):INDIRECT('LOCCS Import'!$R$3&amp;"$O$54"),7,)</f>
        <v>4.0199999999999996</v>
      </c>
      <c r="N18" s="57">
        <f ca="1">VLOOKUP(A18,INDIRECT('LOCCS Import'!$Q$3&amp;"$A$3"):INDIRECT('LOCCS Import'!$Q$3&amp;"$O$54"),7,)</f>
        <v>3.95</v>
      </c>
      <c r="O18" s="57">
        <f ca="1">VLOOKUP(A18,INDIRECT('LOCCS Import'!$P$3&amp;"$A$3"):INDIRECT('LOCCS Import'!$P$3&amp;"$O$54"),7,)</f>
        <v>3.95</v>
      </c>
      <c r="P18" s="57">
        <f ca="1">VLOOKUP(A18,INDIRECT('LOCCS Import'!$O$3&amp;"$A$3"):INDIRECT('LOCCS Import'!$O$3&amp;"$O$54"),7,)</f>
        <v>3.83</v>
      </c>
      <c r="Q18" s="57">
        <f ca="1">VLOOKUP(A18,INDIRECT('LOCCS Import'!$N$3&amp;"$A$3"):INDIRECT('LOCCS Import'!$N$3&amp;"$O$54"),7,)</f>
        <v>3.81</v>
      </c>
      <c r="R18" s="57">
        <f ca="1">VLOOKUP(A18,INDIRECT('LOCCS Import'!$M$3&amp;"$A$3"):INDIRECT('LOCCS Import'!$M$3&amp;"$O$54"),7,)</f>
        <v>3.71</v>
      </c>
      <c r="S18" s="57">
        <f ca="1">VLOOKUP(A18,INDIRECT('LOCCS Import'!$L$3&amp;"$A$3"):INDIRECT('LOCCS Import'!$L$3&amp;"$O$54"),7,)</f>
        <v>3.64</v>
      </c>
      <c r="T18" s="57">
        <f ca="1">VLOOKUP(A18,INDIRECT('LOCCS Import'!$K$3&amp;"$A$3"):INDIRECT('LOCCS Import'!$K$3&amp;"$O$54"),7,)</f>
        <v>4.5999999999999996</v>
      </c>
      <c r="U18" s="57">
        <f ca="1">VLOOKUP(A18,INDIRECT('LOCCS Import'!$J$3&amp;"$A$3"):INDIRECT('LOCCS Import'!$J$3&amp;"$O$54"),7,)</f>
        <v>4.5599999999999996</v>
      </c>
      <c r="V18" s="57">
        <f ca="1">VLOOKUP(A18,INDIRECT('LOCCS Import'!$I$3&amp;"$A$3"):INDIRECT('LOCCS Import'!$I$3&amp;"$O$54"),7,)</f>
        <v>4.46</v>
      </c>
      <c r="W18" s="57">
        <f ca="1">VLOOKUP(A18,INDIRECT('LOCCS Import'!$H$3&amp;"$A$3"):INDIRECT('LOCCS Import'!$H$3&amp;"$O$54"),7,)</f>
        <v>4.3099999999999996</v>
      </c>
      <c r="X18" s="57">
        <f ca="1">VLOOKUP(A18,INDIRECT('LOCCS Import'!$G$3&amp;"$A$3"):INDIRECT('LOCCS Import'!$G$3&amp;"$O$54"),7,)</f>
        <v>4.28</v>
      </c>
      <c r="Y18" s="57">
        <f ca="1">VLOOKUP(A18,INDIRECT('LOCCS Import'!$F$3&amp;"$A$3"):INDIRECT('LOCCS Import'!$F$3&amp;"$O$54"),7,)</f>
        <v>4.1900000000000004</v>
      </c>
      <c r="Z18" s="57">
        <f ca="1">VLOOKUP(A18,INDIRECT('LOCCS Import'!$E$3&amp;"$A$3"):INDIRECT('LOCCS Import'!$E$3&amp;"$O$54"),7,)</f>
        <v>4.12</v>
      </c>
      <c r="AA18" s="57">
        <f>VLOOKUP(A18,template!$A$3:$P$54,7,)</f>
        <v>4.0599999999999996</v>
      </c>
      <c r="AB18" s="55">
        <f t="shared" ca="1" si="0"/>
        <v>4.5999999999999996</v>
      </c>
      <c r="AC18" s="57">
        <f t="shared" ca="1" si="1"/>
        <v>3.64</v>
      </c>
      <c r="AD18" s="58">
        <f t="shared" ca="1" si="2"/>
        <v>4.1308333333333334</v>
      </c>
      <c r="AE18" s="80">
        <f t="shared" ca="1" si="3"/>
        <v>43</v>
      </c>
      <c r="AF18" s="127"/>
      <c r="AG18" s="3">
        <f ca="1">VLOOKUP(A18,INDIRECT('LOCCS Import'!$AA$3&amp;"$A$3"):INDIRECT('LOCCS Import'!$AA$3&amp;"$O$54"),8,)</f>
        <v>0.77</v>
      </c>
      <c r="AH18" s="1">
        <f ca="1">VLOOKUP(A18,INDIRECT('LOCCS Import'!$Z$3&amp;"$A$3"):INDIRECT('LOCCS Import'!$Z$3&amp;"$O$54"),8,)</f>
        <v>0.82</v>
      </c>
      <c r="AI18" s="1">
        <f ca="1">VLOOKUP(A18,INDIRECT('LOCCS Import'!$Y$3&amp;"$A$3"):INDIRECT('LOCCS Import'!$Y$3&amp;"$O$54"),8,)</f>
        <v>0.8</v>
      </c>
      <c r="AJ18" s="1">
        <f ca="1">VLOOKUP(A18,INDIRECT('LOCCS Import'!$X$3&amp;"$A$3"):INDIRECT('LOCCS Import'!$X$3&amp;"$O$54"),8,)</f>
        <v>0.78</v>
      </c>
      <c r="AK18" s="1">
        <f ca="1">VLOOKUP(A18,INDIRECT('LOCCS Import'!$W$3&amp;"$A$3"):INDIRECT('LOCCS Import'!$W$3&amp;"$O$54"),8,)</f>
        <v>0.79</v>
      </c>
      <c r="AL18" s="1">
        <f ca="1">VLOOKUP(A18,INDIRECT('LOCCS Import'!$V$3&amp;"$A$3"):INDIRECT('LOCCS Import'!$V$3&amp;"$O$54"),8,)</f>
        <v>0.76</v>
      </c>
      <c r="AM18" s="1">
        <f ca="1">VLOOKUP(A18,INDIRECT('LOCCS Import'!$U$3&amp;"$A$3"):INDIRECT('LOCCS Import'!$U$3&amp;"$O$54"),8,)</f>
        <v>0.82</v>
      </c>
      <c r="AN18" s="1">
        <f ca="1">VLOOKUP(A18,INDIRECT('LOCCS Import'!$T$3&amp;"$A$3"):INDIRECT('LOCCS Import'!$T$3&amp;"$O$54"),8,)</f>
        <v>0.81</v>
      </c>
      <c r="AO18" s="1">
        <f ca="1">VLOOKUP(A18,INDIRECT('LOCCS Import'!$S$3&amp;"$A$3"):INDIRECT('LOCCS Import'!$S$3&amp;"$O$54"),8,)</f>
        <v>0.77</v>
      </c>
      <c r="AP18" s="1">
        <f ca="1">VLOOKUP(A18,INDIRECT('LOCCS Import'!$R$3&amp;"$A$3"):INDIRECT('LOCCS Import'!$R$3&amp;"$O$54"),8,)</f>
        <v>0.75</v>
      </c>
      <c r="AQ18" s="1">
        <f ca="1">VLOOKUP(A18,INDIRECT('LOCCS Import'!$Q$3&amp;"$A$3"):INDIRECT('LOCCS Import'!$Q$3&amp;"$O$54"),8,)</f>
        <v>0.77</v>
      </c>
      <c r="AR18" s="1">
        <f ca="1">VLOOKUP(A18,INDIRECT('LOCCS Import'!$P$3&amp;"$A$3"):INDIRECT('LOCCS Import'!$P$3&amp;"$O$54"),8,)</f>
        <v>0.77</v>
      </c>
      <c r="AS18" s="1">
        <f ca="1">VLOOKUP(A18,INDIRECT('LOCCS Import'!$O$3&amp;"$A$3"):INDIRECT('LOCCS Import'!$O$3&amp;"$O$54"),8,)</f>
        <v>0.68</v>
      </c>
      <c r="AT18" s="1">
        <f ca="1">VLOOKUP(A18,INDIRECT('LOCCS Import'!$N$3&amp;"$A$3"):INDIRECT('LOCCS Import'!$N$3&amp;"$O$54"),8,)</f>
        <v>0.63</v>
      </c>
      <c r="AU18" s="1">
        <f ca="1">VLOOKUP(A18,INDIRECT('LOCCS Import'!$M$3&amp;"$A$3"):INDIRECT('LOCCS Import'!$M$3&amp;"$O$54"),8,)</f>
        <v>0.69</v>
      </c>
      <c r="AV18" s="1">
        <f ca="1">VLOOKUP(A18,INDIRECT('LOCCS Import'!$L$3&amp;"$A$3"):INDIRECT('LOCCS Import'!$L$3&amp;"$O$54"),8,)</f>
        <v>0.73</v>
      </c>
      <c r="AW18" s="1">
        <f ca="1">VLOOKUP(A18,INDIRECT('LOCCS Import'!$K$3&amp;"$A$3"):INDIRECT('LOCCS Import'!$K$3&amp;"$O$54"),8,)</f>
        <v>0.79</v>
      </c>
      <c r="AX18" s="1">
        <f ca="1">VLOOKUP(A18,INDIRECT('LOCCS Import'!$J$3&amp;"$A$3"):INDIRECT('LOCCS Import'!$J$3&amp;"$O$54"),8,)</f>
        <v>0.79</v>
      </c>
      <c r="AY18" s="1">
        <f ca="1">VLOOKUP(A18,INDIRECT('LOCCS Import'!$I$3&amp;"$A$3"):INDIRECT('LOCCS Import'!$I$3&amp;"$O$54"),8,)</f>
        <v>0.82</v>
      </c>
      <c r="AZ18" s="1">
        <f ca="1">VLOOKUP(A18,INDIRECT('LOCCS Import'!$H$3&amp;"$A$3"):INDIRECT('LOCCS Import'!$H$3&amp;"$O$54"),8,)</f>
        <v>0.82</v>
      </c>
      <c r="BA18" s="1">
        <f ca="1">VLOOKUP(A18,INDIRECT('LOCCS Import'!$G$3&amp;"$A$3"):INDIRECT('LOCCS Import'!$G$3&amp;"$O$54"),8,)</f>
        <v>0.81</v>
      </c>
      <c r="BB18" s="1">
        <f ca="1">VLOOKUP(A18,INDIRECT('LOCCS Import'!$F$3&amp;"$A$3"):INDIRECT('LOCCS Import'!$F$3&amp;"$O$54"),8,)</f>
        <v>0.82</v>
      </c>
      <c r="BC18" s="1">
        <f ca="1">VLOOKUP(A18,INDIRECT('LOCCS Import'!$E$3&amp;"$A$3"):INDIRECT('LOCCS Import'!$E$3&amp;"$O$54"),8,)</f>
        <v>0.82</v>
      </c>
      <c r="BD18" s="2">
        <f>VLOOKUP(A18,template!$A$3:$P$54,8,)</f>
        <v>0.83</v>
      </c>
      <c r="BE18" s="2">
        <f t="shared" ca="1" si="4"/>
        <v>0.76916666666666689</v>
      </c>
      <c r="BF18" s="109">
        <f t="shared" ca="1" si="5"/>
        <v>44</v>
      </c>
    </row>
    <row r="19" spans="1:58" x14ac:dyDescent="0.3">
      <c r="A19" s="64" t="s">
        <v>58</v>
      </c>
      <c r="B19" s="61" t="s">
        <v>155</v>
      </c>
      <c r="C19" s="61" t="s">
        <v>173</v>
      </c>
      <c r="D19" s="57">
        <f ca="1">VLOOKUP(A19,INDIRECT('LOCCS Import'!$AA$3&amp;"$A$3"):INDIRECT('LOCCS Import'!$AA$3&amp;"$O$54"),7,)</f>
        <v>2.27</v>
      </c>
      <c r="E19" s="57">
        <f ca="1">VLOOKUP(A19,INDIRECT('LOCCS Import'!$Z$3&amp;"$A$3"):INDIRECT('LOCCS Import'!$Z$3&amp;"$O$54"),7,)</f>
        <v>2.2400000000000002</v>
      </c>
      <c r="F19" s="57">
        <f ca="1">VLOOKUP(A19,INDIRECT('LOCCS Import'!$Y$3&amp;"$A$3"):INDIRECT('LOCCS Import'!$Y$3&amp;"$O$54"),7,)</f>
        <v>2.16</v>
      </c>
      <c r="G19" s="57">
        <f ca="1">VLOOKUP(A19,INDIRECT('LOCCS Import'!$X$3&amp;"$A$3"):INDIRECT('LOCCS Import'!$X$3&amp;"$O$54"),7,)</f>
        <v>2.09</v>
      </c>
      <c r="H19" s="57">
        <f ca="1">VLOOKUP(A19,INDIRECT('LOCCS Import'!$W$3&amp;"$A$3"):INDIRECT('LOCCS Import'!$W$3&amp;"$O$54"),7,)</f>
        <v>1.88</v>
      </c>
      <c r="I19" s="57">
        <f ca="1">VLOOKUP(A19,INDIRECT('LOCCS Import'!$V$3&amp;"$A$3"):INDIRECT('LOCCS Import'!$V$3&amp;"$O$54"),7,)</f>
        <v>2.82</v>
      </c>
      <c r="J19" s="57">
        <f ca="1">VLOOKUP(A19,INDIRECT('LOCCS Import'!$U$3&amp;"$A$3"):INDIRECT('LOCCS Import'!$U$3&amp;"$O$54"),7,)</f>
        <v>2.74</v>
      </c>
      <c r="K19" s="57">
        <f ca="1">VLOOKUP(A19,INDIRECT('LOCCS Import'!$T$3&amp;"$A$3"):INDIRECT('LOCCS Import'!$T$3&amp;"$O$54"),7,)</f>
        <v>2.62</v>
      </c>
      <c r="L19" s="57">
        <f ca="1">VLOOKUP(A19,INDIRECT('LOCCS Import'!$S$3&amp;"$A$3"):INDIRECT('LOCCS Import'!$S$3&amp;"$O$54"),7,)</f>
        <v>2.52</v>
      </c>
      <c r="M19" s="57">
        <f ca="1">VLOOKUP(A19,INDIRECT('LOCCS Import'!$R$3&amp;"$A$3"):INDIRECT('LOCCS Import'!$R$3&amp;"$O$54"),7,)</f>
        <v>2.41</v>
      </c>
      <c r="N19" s="57">
        <f ca="1">VLOOKUP(A19,INDIRECT('LOCCS Import'!$Q$3&amp;"$A$3"):INDIRECT('LOCCS Import'!$Q$3&amp;"$O$54"),7,)</f>
        <v>2.34</v>
      </c>
      <c r="O19" s="57">
        <f ca="1">VLOOKUP(A19,INDIRECT('LOCCS Import'!$P$3&amp;"$A$3"):INDIRECT('LOCCS Import'!$P$3&amp;"$O$54"),7,)</f>
        <v>2.34</v>
      </c>
      <c r="P19" s="57">
        <f ca="1">VLOOKUP(A19,INDIRECT('LOCCS Import'!$O$3&amp;"$A$3"):INDIRECT('LOCCS Import'!$O$3&amp;"$O$54"),7,)</f>
        <v>2.2000000000000002</v>
      </c>
      <c r="Q19" s="57">
        <f ca="1">VLOOKUP(A19,INDIRECT('LOCCS Import'!$N$3&amp;"$A$3"):INDIRECT('LOCCS Import'!$N$3&amp;"$O$54"),7,)</f>
        <v>2.15</v>
      </c>
      <c r="R19" s="57">
        <f ca="1">VLOOKUP(A19,INDIRECT('LOCCS Import'!$M$3&amp;"$A$3"):INDIRECT('LOCCS Import'!$M$3&amp;"$O$54"),7,)</f>
        <v>2.09</v>
      </c>
      <c r="S19" s="57">
        <f ca="1">VLOOKUP(A19,INDIRECT('LOCCS Import'!$L$3&amp;"$A$3"):INDIRECT('LOCCS Import'!$L$3&amp;"$O$54"),7,)</f>
        <v>2</v>
      </c>
      <c r="T19" s="57">
        <f ca="1">VLOOKUP(A19,INDIRECT('LOCCS Import'!$K$3&amp;"$A$3"):INDIRECT('LOCCS Import'!$K$3&amp;"$O$54"),7,)</f>
        <v>1.97</v>
      </c>
      <c r="U19" s="57">
        <f ca="1">VLOOKUP(A19,INDIRECT('LOCCS Import'!$J$3&amp;"$A$3"):INDIRECT('LOCCS Import'!$J$3&amp;"$O$54"),7,)</f>
        <v>1.82</v>
      </c>
      <c r="V19" s="57">
        <f ca="1">VLOOKUP(A19,INDIRECT('LOCCS Import'!$I$3&amp;"$A$3"):INDIRECT('LOCCS Import'!$I$3&amp;"$O$54"),7,)</f>
        <v>1.78</v>
      </c>
      <c r="W19" s="57">
        <f ca="1">VLOOKUP(A19,INDIRECT('LOCCS Import'!$H$3&amp;"$A$3"):INDIRECT('LOCCS Import'!$H$3&amp;"$O$54"),7,)</f>
        <v>2.6</v>
      </c>
      <c r="X19" s="57">
        <f ca="1">VLOOKUP(A19,INDIRECT('LOCCS Import'!$G$3&amp;"$A$3"):INDIRECT('LOCCS Import'!$G$3&amp;"$O$54"),7,)</f>
        <v>2.58</v>
      </c>
      <c r="Y19" s="57">
        <f ca="1">VLOOKUP(A19,INDIRECT('LOCCS Import'!$F$3&amp;"$A$3"):INDIRECT('LOCCS Import'!$F$3&amp;"$O$54"),7,)</f>
        <v>2.4900000000000002</v>
      </c>
      <c r="Z19" s="57">
        <f ca="1">VLOOKUP(A19,INDIRECT('LOCCS Import'!$E$3&amp;"$A$3"):INDIRECT('LOCCS Import'!$E$3&amp;"$O$54"),7,)</f>
        <v>2.44</v>
      </c>
      <c r="AA19" s="57">
        <f>VLOOKUP(A19,template!$A$3:$P$54,7,)</f>
        <v>2.41</v>
      </c>
      <c r="AB19" s="55">
        <f t="shared" ca="1" si="0"/>
        <v>2.6</v>
      </c>
      <c r="AC19" s="57">
        <f t="shared" ca="1" si="1"/>
        <v>1.78</v>
      </c>
      <c r="AD19" s="58">
        <f t="shared" ca="1" si="2"/>
        <v>2.2108333333333334</v>
      </c>
      <c r="AE19" s="80">
        <f t="shared" ca="1" si="3"/>
        <v>10</v>
      </c>
      <c r="AF19" s="127"/>
      <c r="AG19" s="3">
        <f ca="1">VLOOKUP(A19,INDIRECT('LOCCS Import'!$AA$3&amp;"$A$3"):INDIRECT('LOCCS Import'!$AA$3&amp;"$O$54"),8,)</f>
        <v>0.96</v>
      </c>
      <c r="AH19" s="1">
        <f ca="1">VLOOKUP(A19,INDIRECT('LOCCS Import'!$Z$3&amp;"$A$3"):INDIRECT('LOCCS Import'!$Z$3&amp;"$O$54"),8,)</f>
        <v>0.88</v>
      </c>
      <c r="AI19" s="1">
        <f ca="1">VLOOKUP(A19,INDIRECT('LOCCS Import'!$Y$3&amp;"$A$3"):INDIRECT('LOCCS Import'!$Y$3&amp;"$O$54"),8,)</f>
        <v>0.9</v>
      </c>
      <c r="AJ19" s="1">
        <f ca="1">VLOOKUP(A19,INDIRECT('LOCCS Import'!$X$3&amp;"$A$3"):INDIRECT('LOCCS Import'!$X$3&amp;"$O$54"),8,)</f>
        <v>0.94</v>
      </c>
      <c r="AK19" s="1">
        <f ca="1">VLOOKUP(A19,INDIRECT('LOCCS Import'!$W$3&amp;"$A$3"):INDIRECT('LOCCS Import'!$W$3&amp;"$O$54"),8,)</f>
        <v>0.99</v>
      </c>
      <c r="AL19" s="1">
        <f ca="1">VLOOKUP(A19,INDIRECT('LOCCS Import'!$V$3&amp;"$A$3"):INDIRECT('LOCCS Import'!$V$3&amp;"$O$54"),8,)</f>
        <v>1.05</v>
      </c>
      <c r="AM19" s="1">
        <f ca="1">VLOOKUP(A19,INDIRECT('LOCCS Import'!$U$3&amp;"$A$3"):INDIRECT('LOCCS Import'!$U$3&amp;"$O$54"),8,)</f>
        <v>1.03</v>
      </c>
      <c r="AN19" s="1">
        <f ca="1">VLOOKUP(A19,INDIRECT('LOCCS Import'!$T$3&amp;"$A$3"):INDIRECT('LOCCS Import'!$T$3&amp;"$O$54"),8,)</f>
        <v>1.05</v>
      </c>
      <c r="AO19" s="1">
        <f ca="1">VLOOKUP(A19,INDIRECT('LOCCS Import'!$S$3&amp;"$A$3"):INDIRECT('LOCCS Import'!$S$3&amp;"$O$54"),8,)</f>
        <v>1.0900000000000001</v>
      </c>
      <c r="AP19" s="1">
        <f ca="1">VLOOKUP(A19,INDIRECT('LOCCS Import'!$R$3&amp;"$A$3"):INDIRECT('LOCCS Import'!$R$3&amp;"$O$54"),8,)</f>
        <v>1.1299999999999999</v>
      </c>
      <c r="AQ19" s="1">
        <f ca="1">VLOOKUP(A19,INDIRECT('LOCCS Import'!$Q$3&amp;"$A$3"):INDIRECT('LOCCS Import'!$Q$3&amp;"$O$54"),8,)</f>
        <v>1.1299999999999999</v>
      </c>
      <c r="AR19" s="1">
        <f ca="1">VLOOKUP(A19,INDIRECT('LOCCS Import'!$P$3&amp;"$A$3"):INDIRECT('LOCCS Import'!$P$3&amp;"$O$54"),8,)</f>
        <v>1.1299999999999999</v>
      </c>
      <c r="AS19" s="1">
        <f ca="1">VLOOKUP(A19,INDIRECT('LOCCS Import'!$O$3&amp;"$A$3"):INDIRECT('LOCCS Import'!$O$3&amp;"$O$54"),8,)</f>
        <v>1.1000000000000001</v>
      </c>
      <c r="AT19" s="1">
        <f ca="1">VLOOKUP(A19,INDIRECT('LOCCS Import'!$N$3&amp;"$A$3"):INDIRECT('LOCCS Import'!$N$3&amp;"$O$54"),8,)</f>
        <v>1.1100000000000001</v>
      </c>
      <c r="AU19" s="1">
        <f ca="1">VLOOKUP(A19,INDIRECT('LOCCS Import'!$M$3&amp;"$A$3"):INDIRECT('LOCCS Import'!$M$3&amp;"$O$54"),8,)</f>
        <v>1.1000000000000001</v>
      </c>
      <c r="AV19" s="1">
        <f ca="1">VLOOKUP(A19,INDIRECT('LOCCS Import'!$L$3&amp;"$A$3"):INDIRECT('LOCCS Import'!$L$3&amp;"$O$54"),8,)</f>
        <v>1.02</v>
      </c>
      <c r="AW19" s="1">
        <f ca="1">VLOOKUP(A19,INDIRECT('LOCCS Import'!$K$3&amp;"$A$3"):INDIRECT('LOCCS Import'!$K$3&amp;"$O$54"),8,)</f>
        <v>0.94</v>
      </c>
      <c r="AX19" s="1">
        <f ca="1">VLOOKUP(A19,INDIRECT('LOCCS Import'!$J$3&amp;"$A$3"):INDIRECT('LOCCS Import'!$J$3&amp;"$O$54"),8,)</f>
        <v>1</v>
      </c>
      <c r="AY19" s="1">
        <f ca="1">VLOOKUP(A19,INDIRECT('LOCCS Import'!$I$3&amp;"$A$3"):INDIRECT('LOCCS Import'!$I$3&amp;"$O$54"),8,)</f>
        <v>0.96</v>
      </c>
      <c r="AZ19" s="1">
        <f ca="1">VLOOKUP(A19,INDIRECT('LOCCS Import'!$H$3&amp;"$A$3"):INDIRECT('LOCCS Import'!$H$3&amp;"$O$54"),8,)</f>
        <v>0.96</v>
      </c>
      <c r="BA19" s="1">
        <f ca="1">VLOOKUP(A19,INDIRECT('LOCCS Import'!$G$3&amp;"$A$3"):INDIRECT('LOCCS Import'!$G$3&amp;"$O$54"),8,)</f>
        <v>0.91</v>
      </c>
      <c r="BB19" s="1">
        <f ca="1">VLOOKUP(A19,INDIRECT('LOCCS Import'!$F$3&amp;"$A$3"):INDIRECT('LOCCS Import'!$F$3&amp;"$O$54"),8,)</f>
        <v>0.89</v>
      </c>
      <c r="BC19" s="1">
        <f ca="1">VLOOKUP(A19,INDIRECT('LOCCS Import'!$E$3&amp;"$A$3"):INDIRECT('LOCCS Import'!$E$3&amp;"$O$54"),8,)</f>
        <v>0.87</v>
      </c>
      <c r="BD19" s="2">
        <f>VLOOKUP(A19,template!$A$3:$P$54,8,)</f>
        <v>0.81</v>
      </c>
      <c r="BE19" s="2">
        <f t="shared" ca="1" si="4"/>
        <v>0.97250000000000003</v>
      </c>
      <c r="BF19" s="109">
        <f t="shared" ca="1" si="5"/>
        <v>21</v>
      </c>
    </row>
    <row r="20" spans="1:58" x14ac:dyDescent="0.3">
      <c r="A20" s="64" t="s">
        <v>68</v>
      </c>
      <c r="B20" s="61" t="s">
        <v>167</v>
      </c>
      <c r="C20" s="61" t="s">
        <v>174</v>
      </c>
      <c r="D20" s="57">
        <f ca="1">VLOOKUP(A20,INDIRECT('LOCCS Import'!$AA$3&amp;"$A$3"):INDIRECT('LOCCS Import'!$AA$3&amp;"$O$54"),7,)</f>
        <v>1.64</v>
      </c>
      <c r="E20" s="57">
        <f ca="1">VLOOKUP(A20,INDIRECT('LOCCS Import'!$Z$3&amp;"$A$3"):INDIRECT('LOCCS Import'!$Z$3&amp;"$O$54"),7,)</f>
        <v>1.57</v>
      </c>
      <c r="F20" s="57">
        <f ca="1">VLOOKUP(A20,INDIRECT('LOCCS Import'!$Y$3&amp;"$A$3"):INDIRECT('LOCCS Import'!$Y$3&amp;"$O$54"),7,)</f>
        <v>1.48</v>
      </c>
      <c r="G20" s="57">
        <f ca="1">VLOOKUP(A20,INDIRECT('LOCCS Import'!$X$3&amp;"$A$3"):INDIRECT('LOCCS Import'!$X$3&amp;"$O$54"),7,)</f>
        <v>1.44</v>
      </c>
      <c r="H20" s="57">
        <f ca="1">VLOOKUP(A20,INDIRECT('LOCCS Import'!$W$3&amp;"$A$3"):INDIRECT('LOCCS Import'!$W$3&amp;"$O$54"),7,)</f>
        <v>2.35</v>
      </c>
      <c r="I20" s="57">
        <f ca="1">VLOOKUP(A20,INDIRECT('LOCCS Import'!$V$3&amp;"$A$3"):INDIRECT('LOCCS Import'!$V$3&amp;"$O$54"),7,)</f>
        <v>2.31</v>
      </c>
      <c r="J20" s="57">
        <f ca="1">VLOOKUP(A20,INDIRECT('LOCCS Import'!$U$3&amp;"$A$3"):INDIRECT('LOCCS Import'!$U$3&amp;"$O$54"),7,)</f>
        <v>2.23</v>
      </c>
      <c r="K20" s="57">
        <f ca="1">VLOOKUP(A20,INDIRECT('LOCCS Import'!$T$3&amp;"$A$3"):INDIRECT('LOCCS Import'!$T$3&amp;"$O$54"),7,)</f>
        <v>2.17</v>
      </c>
      <c r="L20" s="57">
        <f ca="1">VLOOKUP(A20,INDIRECT('LOCCS Import'!$S$3&amp;"$A$3"):INDIRECT('LOCCS Import'!$S$3&amp;"$O$54"),7,)</f>
        <v>1.96</v>
      </c>
      <c r="M20" s="57">
        <f ca="1">VLOOKUP(A20,INDIRECT('LOCCS Import'!$R$3&amp;"$A$3"):INDIRECT('LOCCS Import'!$R$3&amp;"$O$54"),7,)</f>
        <v>1.94</v>
      </c>
      <c r="N20" s="57">
        <f ca="1">VLOOKUP(A20,INDIRECT('LOCCS Import'!$Q$3&amp;"$A$3"):INDIRECT('LOCCS Import'!$Q$3&amp;"$O$54"),7,)</f>
        <v>1.87</v>
      </c>
      <c r="O20" s="57">
        <f ca="1">VLOOKUP(A20,INDIRECT('LOCCS Import'!$P$3&amp;"$A$3"):INDIRECT('LOCCS Import'!$P$3&amp;"$O$54"),7,)</f>
        <v>1.87</v>
      </c>
      <c r="P20" s="57">
        <f ca="1">VLOOKUP(A20,INDIRECT('LOCCS Import'!$O$3&amp;"$A$3"):INDIRECT('LOCCS Import'!$O$3&amp;"$O$54"),7,)</f>
        <v>1.73</v>
      </c>
      <c r="Q20" s="57">
        <f ca="1">VLOOKUP(A20,INDIRECT('LOCCS Import'!$N$3&amp;"$A$3"):INDIRECT('LOCCS Import'!$N$3&amp;"$O$54"),7,)</f>
        <v>1.63</v>
      </c>
      <c r="R20" s="57">
        <f ca="1">VLOOKUP(A20,INDIRECT('LOCCS Import'!$M$3&amp;"$A$3"):INDIRECT('LOCCS Import'!$M$3&amp;"$O$54"),7,)</f>
        <v>1.59</v>
      </c>
      <c r="S20" s="57">
        <f ca="1">VLOOKUP(A20,INDIRECT('LOCCS Import'!$L$3&amp;"$A$3"):INDIRECT('LOCCS Import'!$L$3&amp;"$O$54"),7,)</f>
        <v>1.49</v>
      </c>
      <c r="T20" s="57">
        <f ca="1">VLOOKUP(A20,INDIRECT('LOCCS Import'!$K$3&amp;"$A$3"):INDIRECT('LOCCS Import'!$K$3&amp;"$O$54"),7,)</f>
        <v>2.31</v>
      </c>
      <c r="U20" s="57">
        <f ca="1">VLOOKUP(A20,INDIRECT('LOCCS Import'!$J$3&amp;"$A$3"):INDIRECT('LOCCS Import'!$J$3&amp;"$O$54"),7,)</f>
        <v>2.25</v>
      </c>
      <c r="V20" s="57">
        <f ca="1">VLOOKUP(A20,INDIRECT('LOCCS Import'!$I$3&amp;"$A$3"):INDIRECT('LOCCS Import'!$I$3&amp;"$O$54"),7,)</f>
        <v>2.23</v>
      </c>
      <c r="W20" s="57">
        <f ca="1">VLOOKUP(A20,INDIRECT('LOCCS Import'!$H$3&amp;"$A$3"):INDIRECT('LOCCS Import'!$H$3&amp;"$O$54"),7,)</f>
        <v>2.16</v>
      </c>
      <c r="X20" s="57">
        <f ca="1">VLOOKUP(A20,INDIRECT('LOCCS Import'!$G$3&amp;"$A$3"):INDIRECT('LOCCS Import'!$G$3&amp;"$O$54"),7,)</f>
        <v>2.08</v>
      </c>
      <c r="Y20" s="57">
        <f ca="1">VLOOKUP(A20,INDIRECT('LOCCS Import'!$F$3&amp;"$A$3"):INDIRECT('LOCCS Import'!$F$3&amp;"$O$54"),7,)</f>
        <v>2.0099999999999998</v>
      </c>
      <c r="Z20" s="57">
        <f ca="1">VLOOKUP(A20,INDIRECT('LOCCS Import'!$E$3&amp;"$A$3"):INDIRECT('LOCCS Import'!$E$3&amp;"$O$54"),7,)</f>
        <v>1.91</v>
      </c>
      <c r="AA20" s="57">
        <f>VLOOKUP(A20,template!$A$3:$P$54,7,)</f>
        <v>1.83</v>
      </c>
      <c r="AB20" s="55">
        <f t="shared" ca="1" si="0"/>
        <v>2.31</v>
      </c>
      <c r="AC20" s="57">
        <f t="shared" ca="1" si="1"/>
        <v>1.49</v>
      </c>
      <c r="AD20" s="58">
        <f t="shared" ca="1" si="2"/>
        <v>1.9349999999999998</v>
      </c>
      <c r="AE20" s="80">
        <f t="shared" ca="1" si="3"/>
        <v>4</v>
      </c>
      <c r="AF20" s="127"/>
      <c r="AG20" s="3">
        <f ca="1">VLOOKUP(A20,INDIRECT('LOCCS Import'!$AA$3&amp;"$A$3"):INDIRECT('LOCCS Import'!$AA$3&amp;"$O$54"),8,)</f>
        <v>0.99</v>
      </c>
      <c r="AH20" s="1">
        <f ca="1">VLOOKUP(A20,INDIRECT('LOCCS Import'!$Z$3&amp;"$A$3"):INDIRECT('LOCCS Import'!$Z$3&amp;"$O$54"),8,)</f>
        <v>0.92</v>
      </c>
      <c r="AI20" s="1">
        <f ca="1">VLOOKUP(A20,INDIRECT('LOCCS Import'!$Y$3&amp;"$A$3"):INDIRECT('LOCCS Import'!$Y$3&amp;"$O$54"),8,)</f>
        <v>0.98</v>
      </c>
      <c r="AJ20" s="1">
        <f ca="1">VLOOKUP(A20,INDIRECT('LOCCS Import'!$X$3&amp;"$A$3"):INDIRECT('LOCCS Import'!$X$3&amp;"$O$54"),8,)</f>
        <v>0.95</v>
      </c>
      <c r="AK20" s="1">
        <f ca="1">VLOOKUP(A20,INDIRECT('LOCCS Import'!$W$3&amp;"$A$3"):INDIRECT('LOCCS Import'!$W$3&amp;"$O$54"),8,)</f>
        <v>0.98</v>
      </c>
      <c r="AL20" s="1">
        <f ca="1">VLOOKUP(A20,INDIRECT('LOCCS Import'!$V$3&amp;"$A$3"):INDIRECT('LOCCS Import'!$V$3&amp;"$O$54"),8,)</f>
        <v>0.95</v>
      </c>
      <c r="AM20" s="1">
        <f ca="1">VLOOKUP(A20,INDIRECT('LOCCS Import'!$U$3&amp;"$A$3"):INDIRECT('LOCCS Import'!$U$3&amp;"$O$54"),8,)</f>
        <v>0.99</v>
      </c>
      <c r="AN20" s="1">
        <f ca="1">VLOOKUP(A20,INDIRECT('LOCCS Import'!$T$3&amp;"$A$3"):INDIRECT('LOCCS Import'!$T$3&amp;"$O$54"),8,)</f>
        <v>0.94</v>
      </c>
      <c r="AO20" s="1">
        <f ca="1">VLOOKUP(A20,INDIRECT('LOCCS Import'!$S$3&amp;"$A$3"):INDIRECT('LOCCS Import'!$S$3&amp;"$O$54"),8,)</f>
        <v>1.1200000000000001</v>
      </c>
      <c r="AP20" s="1">
        <f ca="1">VLOOKUP(A20,INDIRECT('LOCCS Import'!$R$3&amp;"$A$3"):INDIRECT('LOCCS Import'!$R$3&amp;"$O$54"),8,)</f>
        <v>1.05</v>
      </c>
      <c r="AQ20" s="1">
        <f ca="1">VLOOKUP(A20,INDIRECT('LOCCS Import'!$Q$3&amp;"$A$3"):INDIRECT('LOCCS Import'!$Q$3&amp;"$O$54"),8,)</f>
        <v>0.98</v>
      </c>
      <c r="AR20" s="1">
        <f ca="1">VLOOKUP(A20,INDIRECT('LOCCS Import'!$P$3&amp;"$A$3"):INDIRECT('LOCCS Import'!$P$3&amp;"$O$54"),8,)</f>
        <v>0.98</v>
      </c>
      <c r="AS20" s="1">
        <f ca="1">VLOOKUP(A20,INDIRECT('LOCCS Import'!$O$3&amp;"$A$3"):INDIRECT('LOCCS Import'!$O$3&amp;"$O$54"),8,)</f>
        <v>0.89</v>
      </c>
      <c r="AT20" s="1">
        <f ca="1">VLOOKUP(A20,INDIRECT('LOCCS Import'!$N$3&amp;"$A$3"):INDIRECT('LOCCS Import'!$N$3&amp;"$O$54"),8,)</f>
        <v>0.94</v>
      </c>
      <c r="AU20" s="1">
        <f ca="1">VLOOKUP(A20,INDIRECT('LOCCS Import'!$M$3&amp;"$A$3"):INDIRECT('LOCCS Import'!$M$3&amp;"$O$54"),8,)</f>
        <v>0.88</v>
      </c>
      <c r="AV20" s="1">
        <f ca="1">VLOOKUP(A20,INDIRECT('LOCCS Import'!$L$3&amp;"$A$3"):INDIRECT('LOCCS Import'!$L$3&amp;"$O$54"),8,)</f>
        <v>0.94</v>
      </c>
      <c r="AW20" s="1">
        <f ca="1">VLOOKUP(A20,INDIRECT('LOCCS Import'!$K$3&amp;"$A$3"):INDIRECT('LOCCS Import'!$K$3&amp;"$O$54"),8,)</f>
        <v>1.03</v>
      </c>
      <c r="AX20" s="1">
        <f ca="1">VLOOKUP(A20,INDIRECT('LOCCS Import'!$J$3&amp;"$A$3"):INDIRECT('LOCCS Import'!$J$3&amp;"$O$54"),8,)</f>
        <v>1.03</v>
      </c>
      <c r="AY20" s="1">
        <f ca="1">VLOOKUP(A20,INDIRECT('LOCCS Import'!$I$3&amp;"$A$3"):INDIRECT('LOCCS Import'!$I$3&amp;"$O$54"),8,)</f>
        <v>0.99</v>
      </c>
      <c r="AZ20" s="1">
        <f ca="1">VLOOKUP(A20,INDIRECT('LOCCS Import'!$H$3&amp;"$A$3"):INDIRECT('LOCCS Import'!$H$3&amp;"$O$54"),8,)</f>
        <v>0.99</v>
      </c>
      <c r="BA20" s="1">
        <f ca="1">VLOOKUP(A20,INDIRECT('LOCCS Import'!$G$3&amp;"$A$3"):INDIRECT('LOCCS Import'!$G$3&amp;"$O$54"),8,)</f>
        <v>0.87</v>
      </c>
      <c r="BB20" s="1">
        <f ca="1">VLOOKUP(A20,INDIRECT('LOCCS Import'!$F$3&amp;"$A$3"):INDIRECT('LOCCS Import'!$F$3&amp;"$O$54"),8,)</f>
        <v>0.92</v>
      </c>
      <c r="BC20" s="1">
        <f ca="1">VLOOKUP(A20,INDIRECT('LOCCS Import'!$E$3&amp;"$A$3"):INDIRECT('LOCCS Import'!$E$3&amp;"$O$54"),8,)</f>
        <v>0.94</v>
      </c>
      <c r="BD20" s="2">
        <f>VLOOKUP(A20,template!$A$3:$P$54,8,)</f>
        <v>0.98</v>
      </c>
      <c r="BE20" s="2">
        <f t="shared" ca="1" si="4"/>
        <v>0.95000000000000007</v>
      </c>
      <c r="BF20" s="109">
        <f t="shared" ca="1" si="5"/>
        <v>23</v>
      </c>
    </row>
    <row r="21" spans="1:58" x14ac:dyDescent="0.3">
      <c r="A21" s="64" t="s">
        <v>46</v>
      </c>
      <c r="B21" s="61" t="s">
        <v>157</v>
      </c>
      <c r="C21" s="61" t="s">
        <v>175</v>
      </c>
      <c r="D21" s="57">
        <f ca="1">VLOOKUP(A21,INDIRECT('LOCCS Import'!$AA$3&amp;"$A$3"):INDIRECT('LOCCS Import'!$AA$3&amp;"$O$54"),7,)</f>
        <v>2.92</v>
      </c>
      <c r="E21" s="57">
        <f ca="1">VLOOKUP(A21,INDIRECT('LOCCS Import'!$Z$3&amp;"$A$3"):INDIRECT('LOCCS Import'!$Z$3&amp;"$O$54"),7,)</f>
        <v>2.89</v>
      </c>
      <c r="F21" s="57">
        <f ca="1">VLOOKUP(A21,INDIRECT('LOCCS Import'!$Y$3&amp;"$A$3"):INDIRECT('LOCCS Import'!$Y$3&amp;"$O$54"),7,)</f>
        <v>2.85</v>
      </c>
      <c r="G21" s="57">
        <f ca="1">VLOOKUP(A21,INDIRECT('LOCCS Import'!$X$3&amp;"$A$3"):INDIRECT('LOCCS Import'!$X$3&amp;"$O$54"),7,)</f>
        <v>2.71</v>
      </c>
      <c r="H21" s="57">
        <f ca="1">VLOOKUP(A21,INDIRECT('LOCCS Import'!$W$3&amp;"$A$3"):INDIRECT('LOCCS Import'!$W$3&amp;"$O$54"),7,)</f>
        <v>2.56</v>
      </c>
      <c r="I21" s="57">
        <f ca="1">VLOOKUP(A21,INDIRECT('LOCCS Import'!$V$3&amp;"$A$3"):INDIRECT('LOCCS Import'!$V$3&amp;"$O$54"),7,)</f>
        <v>2.5499999999999998</v>
      </c>
      <c r="J21" s="57">
        <f ca="1">VLOOKUP(A21,INDIRECT('LOCCS Import'!$U$3&amp;"$A$3"):INDIRECT('LOCCS Import'!$U$3&amp;"$O$54"),7,)</f>
        <v>3.45</v>
      </c>
      <c r="K21" s="57">
        <f ca="1">VLOOKUP(A21,INDIRECT('LOCCS Import'!$T$3&amp;"$A$3"):INDIRECT('LOCCS Import'!$T$3&amp;"$O$54"),7,)</f>
        <v>3.38</v>
      </c>
      <c r="L21" s="57">
        <f ca="1">VLOOKUP(A21,INDIRECT('LOCCS Import'!$S$3&amp;"$A$3"):INDIRECT('LOCCS Import'!$S$3&amp;"$O$54"),7,)</f>
        <v>3.08</v>
      </c>
      <c r="M21" s="57">
        <f ca="1">VLOOKUP(A21,INDIRECT('LOCCS Import'!$R$3&amp;"$A$3"):INDIRECT('LOCCS Import'!$R$3&amp;"$O$54"),7,)</f>
        <v>3.01</v>
      </c>
      <c r="N21" s="57">
        <f ca="1">VLOOKUP(A21,INDIRECT('LOCCS Import'!$Q$3&amp;"$A$3"):INDIRECT('LOCCS Import'!$Q$3&amp;"$O$54"),7,)</f>
        <v>2.98</v>
      </c>
      <c r="O21" s="57">
        <f ca="1">VLOOKUP(A21,INDIRECT('LOCCS Import'!$P$3&amp;"$A$3"):INDIRECT('LOCCS Import'!$P$3&amp;"$O$54"),7,)</f>
        <v>2.98</v>
      </c>
      <c r="P21" s="57">
        <f ca="1">VLOOKUP(A21,INDIRECT('LOCCS Import'!$O$3&amp;"$A$3"):INDIRECT('LOCCS Import'!$O$3&amp;"$O$54"),7,)</f>
        <v>2.79</v>
      </c>
      <c r="Q21" s="57">
        <f ca="1">VLOOKUP(A21,INDIRECT('LOCCS Import'!$N$3&amp;"$A$3"):INDIRECT('LOCCS Import'!$N$3&amp;"$O$54"),7,)</f>
        <v>2.68</v>
      </c>
      <c r="R21" s="57">
        <f ca="1">VLOOKUP(A21,INDIRECT('LOCCS Import'!$M$3&amp;"$A$3"):INDIRECT('LOCCS Import'!$M$3&amp;"$O$54"),7,)</f>
        <v>2.61</v>
      </c>
      <c r="S21" s="57">
        <f ca="1">VLOOKUP(A21,INDIRECT('LOCCS Import'!$L$3&amp;"$A$3"):INDIRECT('LOCCS Import'!$L$3&amp;"$O$54"),7,)</f>
        <v>2.4900000000000002</v>
      </c>
      <c r="T21" s="57">
        <f ca="1">VLOOKUP(A21,INDIRECT('LOCCS Import'!$K$3&amp;"$A$3"):INDIRECT('LOCCS Import'!$K$3&amp;"$O$54"),7,)</f>
        <v>2.4300000000000002</v>
      </c>
      <c r="U21" s="57">
        <f ca="1">VLOOKUP(A21,INDIRECT('LOCCS Import'!$J$3&amp;"$A$3"):INDIRECT('LOCCS Import'!$J$3&amp;"$O$54"),7,)</f>
        <v>2.31</v>
      </c>
      <c r="V21" s="57">
        <f ca="1">VLOOKUP(A21,INDIRECT('LOCCS Import'!$I$3&amp;"$A$3"):INDIRECT('LOCCS Import'!$I$3&amp;"$O$54"),7,)</f>
        <v>2.23</v>
      </c>
      <c r="W21" s="57">
        <f ca="1">VLOOKUP(A21,INDIRECT('LOCCS Import'!$H$3&amp;"$A$3"):INDIRECT('LOCCS Import'!$H$3&amp;"$O$54"),7,)</f>
        <v>2.17</v>
      </c>
      <c r="X21" s="57">
        <f ca="1">VLOOKUP(A21,INDIRECT('LOCCS Import'!$G$3&amp;"$A$3"):INDIRECT('LOCCS Import'!$G$3&amp;"$O$54"),7,)</f>
        <v>3.36</v>
      </c>
      <c r="Y21" s="57">
        <f ca="1">VLOOKUP(A21,INDIRECT('LOCCS Import'!$F$3&amp;"$A$3"):INDIRECT('LOCCS Import'!$F$3&amp;"$O$54"),7,)</f>
        <v>3.3</v>
      </c>
      <c r="Z21" s="57">
        <f ca="1">VLOOKUP(A21,INDIRECT('LOCCS Import'!$E$3&amp;"$A$3"):INDIRECT('LOCCS Import'!$E$3&amp;"$O$54"),7,)</f>
        <v>3.18</v>
      </c>
      <c r="AA21" s="57">
        <f>VLOOKUP(A21,template!$A$3:$P$54,7,)</f>
        <v>3.17</v>
      </c>
      <c r="AB21" s="55">
        <f t="shared" ca="1" si="0"/>
        <v>3.36</v>
      </c>
      <c r="AC21" s="57">
        <f t="shared" ca="1" si="1"/>
        <v>2.17</v>
      </c>
      <c r="AD21" s="58">
        <f t="shared" ca="1" si="2"/>
        <v>2.7266666666666666</v>
      </c>
      <c r="AE21" s="80">
        <f t="shared" ca="1" si="3"/>
        <v>18</v>
      </c>
      <c r="AF21" s="127"/>
      <c r="AG21" s="3">
        <f ca="1">VLOOKUP(A21,INDIRECT('LOCCS Import'!$AA$3&amp;"$A$3"):INDIRECT('LOCCS Import'!$AA$3&amp;"$O$54"),8,)</f>
        <v>0.86</v>
      </c>
      <c r="AH21" s="1">
        <f ca="1">VLOOKUP(A21,INDIRECT('LOCCS Import'!$Z$3&amp;"$A$3"):INDIRECT('LOCCS Import'!$Z$3&amp;"$O$54"),8,)</f>
        <v>0.81</v>
      </c>
      <c r="AI21" s="1">
        <f ca="1">VLOOKUP(A21,INDIRECT('LOCCS Import'!$Y$3&amp;"$A$3"):INDIRECT('LOCCS Import'!$Y$3&amp;"$O$54"),8,)</f>
        <v>0.81</v>
      </c>
      <c r="AJ21" s="1">
        <f ca="1">VLOOKUP(A21,INDIRECT('LOCCS Import'!$X$3&amp;"$A$3"):INDIRECT('LOCCS Import'!$X$3&amp;"$O$54"),8,)</f>
        <v>0.88</v>
      </c>
      <c r="AK21" s="1">
        <f ca="1">VLOOKUP(A21,INDIRECT('LOCCS Import'!$W$3&amp;"$A$3"):INDIRECT('LOCCS Import'!$W$3&amp;"$O$54"),8,)</f>
        <v>0.98</v>
      </c>
      <c r="AL21" s="1">
        <f ca="1">VLOOKUP(A21,INDIRECT('LOCCS Import'!$V$3&amp;"$A$3"):INDIRECT('LOCCS Import'!$V$3&amp;"$O$54"),8,)</f>
        <v>0.98</v>
      </c>
      <c r="AM21" s="1">
        <f ca="1">VLOOKUP(A21,INDIRECT('LOCCS Import'!$U$3&amp;"$A$3"):INDIRECT('LOCCS Import'!$U$3&amp;"$O$54"),8,)</f>
        <v>0.91</v>
      </c>
      <c r="AN21" s="1">
        <f ca="1">VLOOKUP(A21,INDIRECT('LOCCS Import'!$T$3&amp;"$A$3"):INDIRECT('LOCCS Import'!$T$3&amp;"$O$54"),8,)</f>
        <v>0.83</v>
      </c>
      <c r="AO21" s="1">
        <f ca="1">VLOOKUP(A21,INDIRECT('LOCCS Import'!$S$3&amp;"$A$3"):INDIRECT('LOCCS Import'!$S$3&amp;"$O$54"),8,)</f>
        <v>1.1000000000000001</v>
      </c>
      <c r="AP21" s="1">
        <f ca="1">VLOOKUP(A21,INDIRECT('LOCCS Import'!$R$3&amp;"$A$3"):INDIRECT('LOCCS Import'!$R$3&amp;"$O$54"),8,)</f>
        <v>1.1100000000000001</v>
      </c>
      <c r="AQ21" s="1">
        <f ca="1">VLOOKUP(A21,INDIRECT('LOCCS Import'!$Q$3&amp;"$A$3"):INDIRECT('LOCCS Import'!$Q$3&amp;"$O$54"),8,)</f>
        <v>1.01</v>
      </c>
      <c r="AR21" s="1">
        <f ca="1">VLOOKUP(A21,INDIRECT('LOCCS Import'!$P$3&amp;"$A$3"):INDIRECT('LOCCS Import'!$P$3&amp;"$O$54"),8,)</f>
        <v>1.01</v>
      </c>
      <c r="AS21" s="1">
        <f ca="1">VLOOKUP(A21,INDIRECT('LOCCS Import'!$O$3&amp;"$A$3"):INDIRECT('LOCCS Import'!$O$3&amp;"$O$54"),8,)</f>
        <v>1.06</v>
      </c>
      <c r="AT21" s="1">
        <f ca="1">VLOOKUP(A21,INDIRECT('LOCCS Import'!$N$3&amp;"$A$3"):INDIRECT('LOCCS Import'!$N$3&amp;"$O$54"),8,)</f>
        <v>1.1299999999999999</v>
      </c>
      <c r="AU21" s="1">
        <f ca="1">VLOOKUP(A21,INDIRECT('LOCCS Import'!$M$3&amp;"$A$3"):INDIRECT('LOCCS Import'!$M$3&amp;"$O$54"),8,)</f>
        <v>1.17</v>
      </c>
      <c r="AV21" s="1">
        <f ca="1">VLOOKUP(A21,INDIRECT('LOCCS Import'!$L$3&amp;"$A$3"):INDIRECT('LOCCS Import'!$L$3&amp;"$O$54"),8,)</f>
        <v>1.1599999999999999</v>
      </c>
      <c r="AW21" s="1">
        <f ca="1">VLOOKUP(A21,INDIRECT('LOCCS Import'!$K$3&amp;"$A$3"):INDIRECT('LOCCS Import'!$K$3&amp;"$O$54"),8,)</f>
        <v>1.06</v>
      </c>
      <c r="AX21" s="1">
        <f ca="1">VLOOKUP(A21,INDIRECT('LOCCS Import'!$J$3&amp;"$A$3"):INDIRECT('LOCCS Import'!$J$3&amp;"$O$54"),8,)</f>
        <v>1.18</v>
      </c>
      <c r="AY21" s="1">
        <f ca="1">VLOOKUP(A21,INDIRECT('LOCCS Import'!$I$3&amp;"$A$3"):INDIRECT('LOCCS Import'!$I$3&amp;"$O$54"),8,)</f>
        <v>1.22</v>
      </c>
      <c r="AZ21" s="1">
        <f ca="1">VLOOKUP(A21,INDIRECT('LOCCS Import'!$H$3&amp;"$A$3"):INDIRECT('LOCCS Import'!$H$3&amp;"$O$54"),8,)</f>
        <v>1.2</v>
      </c>
      <c r="BA21" s="1">
        <f ca="1">VLOOKUP(A21,INDIRECT('LOCCS Import'!$G$3&amp;"$A$3"):INDIRECT('LOCCS Import'!$G$3&amp;"$O$54"),8,)</f>
        <v>1.1100000000000001</v>
      </c>
      <c r="BB21" s="1">
        <f ca="1">VLOOKUP(A21,INDIRECT('LOCCS Import'!$F$3&amp;"$A$3"):INDIRECT('LOCCS Import'!$F$3&amp;"$O$54"),8,)</f>
        <v>1.1000000000000001</v>
      </c>
      <c r="BC21" s="1">
        <f ca="1">VLOOKUP(A21,INDIRECT('LOCCS Import'!$E$3&amp;"$A$3"):INDIRECT('LOCCS Import'!$E$3&amp;"$O$54"),8,)</f>
        <v>1.19</v>
      </c>
      <c r="BD21" s="2">
        <f>VLOOKUP(A21,template!$A$3:$P$54,8,)</f>
        <v>1.1100000000000001</v>
      </c>
      <c r="BE21" s="2">
        <f t="shared" ca="1" si="4"/>
        <v>1.1408333333333331</v>
      </c>
      <c r="BF21" s="109">
        <f t="shared" ca="1" si="5"/>
        <v>12</v>
      </c>
    </row>
    <row r="22" spans="1:58" x14ac:dyDescent="0.3">
      <c r="A22" s="64" t="s">
        <v>54</v>
      </c>
      <c r="B22" s="61" t="s">
        <v>155</v>
      </c>
      <c r="C22" s="61" t="s">
        <v>176</v>
      </c>
      <c r="D22" s="57">
        <f ca="1">VLOOKUP(A22,INDIRECT('LOCCS Import'!$AA$3&amp;"$A$3"):INDIRECT('LOCCS Import'!$AA$3&amp;"$O$54"),7,)</f>
        <v>2.48</v>
      </c>
      <c r="E22" s="57">
        <f ca="1">VLOOKUP(A22,INDIRECT('LOCCS Import'!$Z$3&amp;"$A$3"):INDIRECT('LOCCS Import'!$Z$3&amp;"$O$54"),7,)</f>
        <v>2.34</v>
      </c>
      <c r="F22" s="57">
        <f ca="1">VLOOKUP(A22,INDIRECT('LOCCS Import'!$Y$3&amp;"$A$3"):INDIRECT('LOCCS Import'!$Y$3&amp;"$O$54"),7,)</f>
        <v>2.3199999999999998</v>
      </c>
      <c r="G22" s="57">
        <f ca="1">VLOOKUP(A22,INDIRECT('LOCCS Import'!$X$3&amp;"$A$3"):INDIRECT('LOCCS Import'!$X$3&amp;"$O$54"),7,)</f>
        <v>2.13</v>
      </c>
      <c r="H22" s="57">
        <f ca="1">VLOOKUP(A22,INDIRECT('LOCCS Import'!$W$3&amp;"$A$3"):INDIRECT('LOCCS Import'!$W$3&amp;"$O$54"),7,)</f>
        <v>3.03</v>
      </c>
      <c r="I22" s="57">
        <f ca="1">VLOOKUP(A22,INDIRECT('LOCCS Import'!$V$3&amp;"$A$3"):INDIRECT('LOCCS Import'!$V$3&amp;"$O$54"),7,)</f>
        <v>2.94</v>
      </c>
      <c r="J22" s="57">
        <f ca="1">VLOOKUP(A22,INDIRECT('LOCCS Import'!$U$3&amp;"$A$3"):INDIRECT('LOCCS Import'!$U$3&amp;"$O$54"),7,)</f>
        <v>2.84</v>
      </c>
      <c r="K22" s="57">
        <f ca="1">VLOOKUP(A22,INDIRECT('LOCCS Import'!$T$3&amp;"$A$3"):INDIRECT('LOCCS Import'!$T$3&amp;"$O$54"),7,)</f>
        <v>2.72</v>
      </c>
      <c r="L22" s="57">
        <f ca="1">VLOOKUP(A22,INDIRECT('LOCCS Import'!$S$3&amp;"$A$3"):INDIRECT('LOCCS Import'!$S$3&amp;"$O$54"),7,)</f>
        <v>2.65</v>
      </c>
      <c r="M22" s="57">
        <f ca="1">VLOOKUP(A22,INDIRECT('LOCCS Import'!$R$3&amp;"$A$3"):INDIRECT('LOCCS Import'!$R$3&amp;"$O$54"),7,)</f>
        <v>2.54</v>
      </c>
      <c r="N22" s="57">
        <f ca="1">VLOOKUP(A22,INDIRECT('LOCCS Import'!$Q$3&amp;"$A$3"):INDIRECT('LOCCS Import'!$Q$3&amp;"$O$54"),7,)</f>
        <v>2.48</v>
      </c>
      <c r="O22" s="57">
        <f ca="1">VLOOKUP(A22,INDIRECT('LOCCS Import'!$P$3&amp;"$A$3"):INDIRECT('LOCCS Import'!$P$3&amp;"$O$54"),7,)</f>
        <v>2.48</v>
      </c>
      <c r="P22" s="57">
        <f ca="1">VLOOKUP(A22,INDIRECT('LOCCS Import'!$O$3&amp;"$A$3"):INDIRECT('LOCCS Import'!$O$3&amp;"$O$54"),7,)</f>
        <v>2.2599999999999998</v>
      </c>
      <c r="Q22" s="57">
        <f ca="1">VLOOKUP(A22,INDIRECT('LOCCS Import'!$N$3&amp;"$A$3"):INDIRECT('LOCCS Import'!$N$3&amp;"$O$54"),7,)</f>
        <v>2.13</v>
      </c>
      <c r="R22" s="57">
        <f ca="1">VLOOKUP(A22,INDIRECT('LOCCS Import'!$M$3&amp;"$A$3"):INDIRECT('LOCCS Import'!$M$3&amp;"$O$54"),7,)</f>
        <v>1.85</v>
      </c>
      <c r="S22" s="57">
        <f ca="1">VLOOKUP(A22,INDIRECT('LOCCS Import'!$L$3&amp;"$A$3"):INDIRECT('LOCCS Import'!$L$3&amp;"$O$54"),7,)</f>
        <v>1.79</v>
      </c>
      <c r="T22" s="57">
        <f ca="1">VLOOKUP(A22,INDIRECT('LOCCS Import'!$K$3&amp;"$A$3"):INDIRECT('LOCCS Import'!$K$3&amp;"$O$54"),7,)</f>
        <v>2.75</v>
      </c>
      <c r="U22" s="57">
        <f ca="1">VLOOKUP(A22,INDIRECT('LOCCS Import'!$J$3&amp;"$A$3"):INDIRECT('LOCCS Import'!$J$3&amp;"$O$54"),7,)</f>
        <v>2.66</v>
      </c>
      <c r="V22" s="57">
        <f ca="1">VLOOKUP(A22,INDIRECT('LOCCS Import'!$I$3&amp;"$A$3"):INDIRECT('LOCCS Import'!$I$3&amp;"$O$54"),7,)</f>
        <v>2.48</v>
      </c>
      <c r="W22" s="57">
        <f ca="1">VLOOKUP(A22,INDIRECT('LOCCS Import'!$H$3&amp;"$A$3"):INDIRECT('LOCCS Import'!$H$3&amp;"$O$54"),7,)</f>
        <v>2.39</v>
      </c>
      <c r="X22" s="57">
        <f ca="1">VLOOKUP(A22,INDIRECT('LOCCS Import'!$G$3&amp;"$A$3"):INDIRECT('LOCCS Import'!$G$3&amp;"$O$54"),7,)</f>
        <v>2.2200000000000002</v>
      </c>
      <c r="Y22" s="57">
        <f ca="1">VLOOKUP(A22,INDIRECT('LOCCS Import'!$F$3&amp;"$A$3"):INDIRECT('LOCCS Import'!$F$3&amp;"$O$54"),7,)</f>
        <v>2.15</v>
      </c>
      <c r="Z22" s="57">
        <f ca="1">VLOOKUP(A22,INDIRECT('LOCCS Import'!$E$3&amp;"$A$3"):INDIRECT('LOCCS Import'!$E$3&amp;"$O$54"),7,)</f>
        <v>2.09</v>
      </c>
      <c r="AA22" s="57">
        <f>VLOOKUP(A22,template!$A$3:$P$54,7,)</f>
        <v>2.04</v>
      </c>
      <c r="AB22" s="55">
        <f t="shared" ca="1" si="0"/>
        <v>2.75</v>
      </c>
      <c r="AC22" s="57">
        <f t="shared" ca="1" si="1"/>
        <v>1.79</v>
      </c>
      <c r="AD22" s="58">
        <f t="shared" ca="1" si="2"/>
        <v>2.2341666666666664</v>
      </c>
      <c r="AE22" s="80">
        <f t="shared" ca="1" si="3"/>
        <v>12</v>
      </c>
      <c r="AF22" s="127"/>
      <c r="AG22" s="3">
        <f ca="1">VLOOKUP(A22,INDIRECT('LOCCS Import'!$AA$3&amp;"$A$3"):INDIRECT('LOCCS Import'!$AA$3&amp;"$O$54"),8,)</f>
        <v>0.82</v>
      </c>
      <c r="AH22" s="1">
        <f ca="1">VLOOKUP(A22,INDIRECT('LOCCS Import'!$Z$3&amp;"$A$3"):INDIRECT('LOCCS Import'!$Z$3&amp;"$O$54"),8,)</f>
        <v>0.88</v>
      </c>
      <c r="AI22" s="1">
        <f ca="1">VLOOKUP(A22,INDIRECT('LOCCS Import'!$Y$3&amp;"$A$3"):INDIRECT('LOCCS Import'!$Y$3&amp;"$O$54"),8,)</f>
        <v>0.83</v>
      </c>
      <c r="AJ22" s="1">
        <f ca="1">VLOOKUP(A22,INDIRECT('LOCCS Import'!$X$3&amp;"$A$3"):INDIRECT('LOCCS Import'!$X$3&amp;"$O$54"),8,)</f>
        <v>0.88</v>
      </c>
      <c r="AK22" s="1">
        <f ca="1">VLOOKUP(A22,INDIRECT('LOCCS Import'!$W$3&amp;"$A$3"):INDIRECT('LOCCS Import'!$W$3&amp;"$O$54"),8,)</f>
        <v>0.85</v>
      </c>
      <c r="AL22" s="1">
        <f ca="1">VLOOKUP(A22,INDIRECT('LOCCS Import'!$V$3&amp;"$A$3"):INDIRECT('LOCCS Import'!$V$3&amp;"$O$54"),8,)</f>
        <v>0.86</v>
      </c>
      <c r="AM22" s="1">
        <f ca="1">VLOOKUP(A22,INDIRECT('LOCCS Import'!$U$3&amp;"$A$3"):INDIRECT('LOCCS Import'!$U$3&amp;"$O$54"),8,)</f>
        <v>0.97</v>
      </c>
      <c r="AN22" s="1">
        <f ca="1">VLOOKUP(A22,INDIRECT('LOCCS Import'!$T$3&amp;"$A$3"):INDIRECT('LOCCS Import'!$T$3&amp;"$O$54"),8,)</f>
        <v>1.01</v>
      </c>
      <c r="AO22" s="1">
        <f ca="1">VLOOKUP(A22,INDIRECT('LOCCS Import'!$S$3&amp;"$A$3"):INDIRECT('LOCCS Import'!$S$3&amp;"$O$54"),8,)</f>
        <v>0.99</v>
      </c>
      <c r="AP22" s="1">
        <f ca="1">VLOOKUP(A22,INDIRECT('LOCCS Import'!$R$3&amp;"$A$3"):INDIRECT('LOCCS Import'!$R$3&amp;"$O$54"),8,)</f>
        <v>1.05</v>
      </c>
      <c r="AQ22" s="1">
        <f ca="1">VLOOKUP(A22,INDIRECT('LOCCS Import'!$Q$3&amp;"$A$3"):INDIRECT('LOCCS Import'!$Q$3&amp;"$O$54"),8,)</f>
        <v>1.04</v>
      </c>
      <c r="AR22" s="1">
        <f ca="1">VLOOKUP(A22,INDIRECT('LOCCS Import'!$P$3&amp;"$A$3"):INDIRECT('LOCCS Import'!$P$3&amp;"$O$54"),8,)</f>
        <v>1.04</v>
      </c>
      <c r="AS22" s="1">
        <f ca="1">VLOOKUP(A22,INDIRECT('LOCCS Import'!$O$3&amp;"$A$3"):INDIRECT('LOCCS Import'!$O$3&amp;"$O$54"),8,)</f>
        <v>1.1399999999999999</v>
      </c>
      <c r="AT22" s="1">
        <f ca="1">VLOOKUP(A22,INDIRECT('LOCCS Import'!$N$3&amp;"$A$3"):INDIRECT('LOCCS Import'!$N$3&amp;"$O$54"),8,)</f>
        <v>1.1399999999999999</v>
      </c>
      <c r="AU22" s="1">
        <f ca="1">VLOOKUP(A22,INDIRECT('LOCCS Import'!$M$3&amp;"$A$3"):INDIRECT('LOCCS Import'!$M$3&amp;"$O$54"),8,)</f>
        <v>1.36</v>
      </c>
      <c r="AV22" s="1">
        <f ca="1">VLOOKUP(A22,INDIRECT('LOCCS Import'!$L$3&amp;"$A$3"):INDIRECT('LOCCS Import'!$L$3&amp;"$O$54"),8,)</f>
        <v>1.28</v>
      </c>
      <c r="AW22" s="1">
        <f ca="1">VLOOKUP(A22,INDIRECT('LOCCS Import'!$K$3&amp;"$A$3"):INDIRECT('LOCCS Import'!$K$3&amp;"$O$54"),8,)</f>
        <v>1.33</v>
      </c>
      <c r="AX22" s="1">
        <f ca="1">VLOOKUP(A22,INDIRECT('LOCCS Import'!$J$3&amp;"$A$3"):INDIRECT('LOCCS Import'!$J$3&amp;"$O$54"),8,)</f>
        <v>1.32</v>
      </c>
      <c r="AY22" s="1">
        <f ca="1">VLOOKUP(A22,INDIRECT('LOCCS Import'!$I$3&amp;"$A$3"):INDIRECT('LOCCS Import'!$I$3&amp;"$O$54"),8,)</f>
        <v>1.39</v>
      </c>
      <c r="AZ22" s="1">
        <f ca="1">VLOOKUP(A22,INDIRECT('LOCCS Import'!$H$3&amp;"$A$3"):INDIRECT('LOCCS Import'!$H$3&amp;"$O$54"),8,)</f>
        <v>1.36</v>
      </c>
      <c r="BA22" s="1">
        <f ca="1">VLOOKUP(A22,INDIRECT('LOCCS Import'!$G$3&amp;"$A$3"):INDIRECT('LOCCS Import'!$G$3&amp;"$O$54"),8,)</f>
        <v>1.47</v>
      </c>
      <c r="BB22" s="1">
        <f ca="1">VLOOKUP(A22,INDIRECT('LOCCS Import'!$F$3&amp;"$A$3"):INDIRECT('LOCCS Import'!$F$3&amp;"$O$54"),8,)</f>
        <v>1.42</v>
      </c>
      <c r="BC22" s="1">
        <f ca="1">VLOOKUP(A22,INDIRECT('LOCCS Import'!$E$3&amp;"$A$3"):INDIRECT('LOCCS Import'!$E$3&amp;"$O$54"),8,)</f>
        <v>1.42</v>
      </c>
      <c r="BD22" s="2">
        <f>VLOOKUP(A22,template!$A$3:$P$54,8,)</f>
        <v>1.35</v>
      </c>
      <c r="BE22" s="2">
        <f t="shared" ca="1" si="4"/>
        <v>1.3316666666666668</v>
      </c>
      <c r="BF22" s="109">
        <f t="shared" ca="1" si="5"/>
        <v>6</v>
      </c>
    </row>
    <row r="23" spans="1:58" x14ac:dyDescent="0.3">
      <c r="A23" s="64" t="s">
        <v>24</v>
      </c>
      <c r="B23" s="61" t="s">
        <v>167</v>
      </c>
      <c r="C23" s="61" t="s">
        <v>177</v>
      </c>
      <c r="D23" s="57">
        <f ca="1">VLOOKUP(A23,INDIRECT('LOCCS Import'!$AA$3&amp;"$A$3"):INDIRECT('LOCCS Import'!$AA$3&amp;"$O$54"),7,)</f>
        <v>4.41</v>
      </c>
      <c r="E23" s="57">
        <f ca="1">VLOOKUP(A23,INDIRECT('LOCCS Import'!$Z$3&amp;"$A$3"):INDIRECT('LOCCS Import'!$Z$3&amp;"$O$54"),7,)</f>
        <v>4.38</v>
      </c>
      <c r="F23" s="57">
        <f ca="1">VLOOKUP(A23,INDIRECT('LOCCS Import'!$Y$3&amp;"$A$3"):INDIRECT('LOCCS Import'!$Y$3&amp;"$O$54"),7,)</f>
        <v>4.32</v>
      </c>
      <c r="G23" s="57">
        <f ca="1">VLOOKUP(A23,INDIRECT('LOCCS Import'!$X$3&amp;"$A$3"):INDIRECT('LOCCS Import'!$X$3&amp;"$O$54"),7,)</f>
        <v>4.25</v>
      </c>
      <c r="H23" s="57">
        <f ca="1">VLOOKUP(A23,INDIRECT('LOCCS Import'!$W$3&amp;"$A$3"):INDIRECT('LOCCS Import'!$W$3&amp;"$O$54"),7,)</f>
        <v>5.34</v>
      </c>
      <c r="I23" s="57">
        <f ca="1">VLOOKUP(A23,INDIRECT('LOCCS Import'!$V$3&amp;"$A$3"):INDIRECT('LOCCS Import'!$V$3&amp;"$O$54"),7,)</f>
        <v>5.33</v>
      </c>
      <c r="J23" s="57">
        <f ca="1">VLOOKUP(A23,INDIRECT('LOCCS Import'!$U$3&amp;"$A$3"):INDIRECT('LOCCS Import'!$U$3&amp;"$O$54"),7,)</f>
        <v>5.33</v>
      </c>
      <c r="K23" s="57">
        <f ca="1">VLOOKUP(A23,INDIRECT('LOCCS Import'!$T$3&amp;"$A$3"):INDIRECT('LOCCS Import'!$T$3&amp;"$O$54"),7,)</f>
        <v>5.32</v>
      </c>
      <c r="L23" s="57">
        <f ca="1">VLOOKUP(A23,INDIRECT('LOCCS Import'!$S$3&amp;"$A$3"):INDIRECT('LOCCS Import'!$S$3&amp;"$O$54"),7,)</f>
        <v>5.27</v>
      </c>
      <c r="M23" s="57">
        <f ca="1">VLOOKUP(A23,INDIRECT('LOCCS Import'!$R$3&amp;"$A$3"):INDIRECT('LOCCS Import'!$R$3&amp;"$O$54"),7,)</f>
        <v>5.25</v>
      </c>
      <c r="N23" s="57">
        <f ca="1">VLOOKUP(A23,INDIRECT('LOCCS Import'!$Q$3&amp;"$A$3"):INDIRECT('LOCCS Import'!$Q$3&amp;"$O$54"),7,)</f>
        <v>5.24</v>
      </c>
      <c r="O23" s="57">
        <f ca="1">VLOOKUP(A23,INDIRECT('LOCCS Import'!$P$3&amp;"$A$3"):INDIRECT('LOCCS Import'!$P$3&amp;"$O$54"),7,)</f>
        <v>5.24</v>
      </c>
      <c r="P23" s="57">
        <f ca="1">VLOOKUP(A23,INDIRECT('LOCCS Import'!$O$3&amp;"$A$3"):INDIRECT('LOCCS Import'!$O$3&amp;"$O$54"),7,)</f>
        <v>5.14</v>
      </c>
      <c r="Q23" s="57">
        <f ca="1">VLOOKUP(A23,INDIRECT('LOCCS Import'!$N$3&amp;"$A$3"):INDIRECT('LOCCS Import'!$N$3&amp;"$O$54"),7,)</f>
        <v>5.0599999999999996</v>
      </c>
      <c r="R23" s="57">
        <f ca="1">VLOOKUP(A23,INDIRECT('LOCCS Import'!$M$3&amp;"$A$3"):INDIRECT('LOCCS Import'!$M$3&amp;"$O$54"),7,)</f>
        <v>5.01</v>
      </c>
      <c r="S23" s="57">
        <f ca="1">VLOOKUP(A23,INDIRECT('LOCCS Import'!$L$3&amp;"$A$3"):INDIRECT('LOCCS Import'!$L$3&amp;"$O$54"),7,)</f>
        <v>4.92</v>
      </c>
      <c r="T23" s="57">
        <f ca="1">VLOOKUP(A23,INDIRECT('LOCCS Import'!$K$3&amp;"$A$3"):INDIRECT('LOCCS Import'!$K$3&amp;"$O$54"),7,)</f>
        <v>5.77</v>
      </c>
      <c r="U23" s="57">
        <f ca="1">VLOOKUP(A23,INDIRECT('LOCCS Import'!$J$3&amp;"$A$3"):INDIRECT('LOCCS Import'!$J$3&amp;"$O$54"),7,)</f>
        <v>5.59</v>
      </c>
      <c r="V23" s="57">
        <f ca="1">VLOOKUP(A23,INDIRECT('LOCCS Import'!$I$3&amp;"$A$3"):INDIRECT('LOCCS Import'!$I$3&amp;"$O$54"),7,)</f>
        <v>5.59</v>
      </c>
      <c r="W23" s="57">
        <f ca="1">VLOOKUP(A23,INDIRECT('LOCCS Import'!$H$3&amp;"$A$3"):INDIRECT('LOCCS Import'!$H$3&amp;"$O$54"),7,)</f>
        <v>5.56</v>
      </c>
      <c r="X23" s="57">
        <f ca="1">VLOOKUP(A23,INDIRECT('LOCCS Import'!$G$3&amp;"$A$3"):INDIRECT('LOCCS Import'!$G$3&amp;"$O$54"),7,)</f>
        <v>5.46</v>
      </c>
      <c r="Y23" s="57">
        <f ca="1">VLOOKUP(A23,INDIRECT('LOCCS Import'!$F$3&amp;"$A$3"):INDIRECT('LOCCS Import'!$F$3&amp;"$O$54"),7,)</f>
        <v>5.42</v>
      </c>
      <c r="Z23" s="57">
        <f ca="1">VLOOKUP(A23,INDIRECT('LOCCS Import'!$E$3&amp;"$A$3"):INDIRECT('LOCCS Import'!$E$3&amp;"$O$54"),7,)</f>
        <v>5.36</v>
      </c>
      <c r="AA23" s="57">
        <f>VLOOKUP(A23,template!$A$3:$P$54,7,)</f>
        <v>5.34</v>
      </c>
      <c r="AB23" s="55">
        <f t="shared" ca="1" si="0"/>
        <v>5.77</v>
      </c>
      <c r="AC23" s="57">
        <f t="shared" ca="1" si="1"/>
        <v>4.92</v>
      </c>
      <c r="AD23" s="58">
        <f t="shared" ca="1" si="2"/>
        <v>5.3516666666666666</v>
      </c>
      <c r="AE23" s="80">
        <f t="shared" ca="1" si="3"/>
        <v>47</v>
      </c>
      <c r="AF23" s="127"/>
      <c r="AG23" s="3">
        <f ca="1">VLOOKUP(A23,INDIRECT('LOCCS Import'!$AA$3&amp;"$A$3"):INDIRECT('LOCCS Import'!$AA$3&amp;"$O$54"),8,)</f>
        <v>0.86</v>
      </c>
      <c r="AH23" s="1">
        <f ca="1">VLOOKUP(A23,INDIRECT('LOCCS Import'!$Z$3&amp;"$A$3"):INDIRECT('LOCCS Import'!$Z$3&amp;"$O$54"),8,)</f>
        <v>0.84</v>
      </c>
      <c r="AI23" s="1">
        <f ca="1">VLOOKUP(A23,INDIRECT('LOCCS Import'!$Y$3&amp;"$A$3"):INDIRECT('LOCCS Import'!$Y$3&amp;"$O$54"),8,)</f>
        <v>0.86</v>
      </c>
      <c r="AJ23" s="1">
        <f ca="1">VLOOKUP(A23,INDIRECT('LOCCS Import'!$X$3&amp;"$A$3"):INDIRECT('LOCCS Import'!$X$3&amp;"$O$54"),8,)</f>
        <v>0.89</v>
      </c>
      <c r="AK23" s="1">
        <f ca="1">VLOOKUP(A23,INDIRECT('LOCCS Import'!$W$3&amp;"$A$3"):INDIRECT('LOCCS Import'!$W$3&amp;"$O$54"),8,)</f>
        <v>0.83</v>
      </c>
      <c r="AL23" s="1">
        <f ca="1">VLOOKUP(A23,INDIRECT('LOCCS Import'!$V$3&amp;"$A$3"):INDIRECT('LOCCS Import'!$V$3&amp;"$O$54"),8,)</f>
        <v>0.8</v>
      </c>
      <c r="AM23" s="1">
        <f ca="1">VLOOKUP(A23,INDIRECT('LOCCS Import'!$U$3&amp;"$A$3"):INDIRECT('LOCCS Import'!$U$3&amp;"$O$54"),8,)</f>
        <v>0.77</v>
      </c>
      <c r="AN23" s="1">
        <f ca="1">VLOOKUP(A23,INDIRECT('LOCCS Import'!$T$3&amp;"$A$3"):INDIRECT('LOCCS Import'!$T$3&amp;"$O$54"),8,)</f>
        <v>0.67</v>
      </c>
      <c r="AO23" s="1">
        <f ca="1">VLOOKUP(A23,INDIRECT('LOCCS Import'!$S$3&amp;"$A$3"):INDIRECT('LOCCS Import'!$S$3&amp;"$O$54"),8,)</f>
        <v>0.69</v>
      </c>
      <c r="AP23" s="1">
        <f ca="1">VLOOKUP(A23,INDIRECT('LOCCS Import'!$R$3&amp;"$A$3"):INDIRECT('LOCCS Import'!$R$3&amp;"$O$54"),8,)</f>
        <v>0.55000000000000004</v>
      </c>
      <c r="AQ23" s="1">
        <f ca="1">VLOOKUP(A23,INDIRECT('LOCCS Import'!$Q$3&amp;"$A$3"):INDIRECT('LOCCS Import'!$Q$3&amp;"$O$54"),8,)</f>
        <v>0.56000000000000005</v>
      </c>
      <c r="AR23" s="1">
        <f ca="1">VLOOKUP(A23,INDIRECT('LOCCS Import'!$P$3&amp;"$A$3"):INDIRECT('LOCCS Import'!$P$3&amp;"$O$54"),8,)</f>
        <v>0.56000000000000005</v>
      </c>
      <c r="AS23" s="1">
        <f ca="1">VLOOKUP(A23,INDIRECT('LOCCS Import'!$O$3&amp;"$A$3"):INDIRECT('LOCCS Import'!$O$3&amp;"$O$54"),8,)</f>
        <v>0.37</v>
      </c>
      <c r="AT23" s="1">
        <f ca="1">VLOOKUP(A23,INDIRECT('LOCCS Import'!$N$3&amp;"$A$3"):INDIRECT('LOCCS Import'!$N$3&amp;"$O$54"),8,)</f>
        <v>0.41</v>
      </c>
      <c r="AU23" s="1">
        <f ca="1">VLOOKUP(A23,INDIRECT('LOCCS Import'!$M$3&amp;"$A$3"):INDIRECT('LOCCS Import'!$M$3&amp;"$O$54"),8,)</f>
        <v>0.38</v>
      </c>
      <c r="AV23" s="1">
        <f ca="1">VLOOKUP(A23,INDIRECT('LOCCS Import'!$L$3&amp;"$A$3"):INDIRECT('LOCCS Import'!$L$3&amp;"$O$54"),8,)</f>
        <v>0.43</v>
      </c>
      <c r="AW23" s="1">
        <f ca="1">VLOOKUP(A23,INDIRECT('LOCCS Import'!$K$3&amp;"$A$3"):INDIRECT('LOCCS Import'!$K$3&amp;"$O$54"),8,)</f>
        <v>0.42</v>
      </c>
      <c r="AX23" s="1">
        <f ca="1">VLOOKUP(A23,INDIRECT('LOCCS Import'!$J$3&amp;"$A$3"):INDIRECT('LOCCS Import'!$J$3&amp;"$O$54"),8,)</f>
        <v>0.57999999999999996</v>
      </c>
      <c r="AY23" s="1">
        <f ca="1">VLOOKUP(A23,INDIRECT('LOCCS Import'!$I$3&amp;"$A$3"):INDIRECT('LOCCS Import'!$I$3&amp;"$O$54"),8,)</f>
        <v>0.57999999999999996</v>
      </c>
      <c r="AZ23" s="1">
        <f ca="1">VLOOKUP(A23,INDIRECT('LOCCS Import'!$H$3&amp;"$A$3"):INDIRECT('LOCCS Import'!$H$3&amp;"$O$54"),8,)</f>
        <v>0.6</v>
      </c>
      <c r="BA23" s="1">
        <f ca="1">VLOOKUP(A23,INDIRECT('LOCCS Import'!$G$3&amp;"$A$3"):INDIRECT('LOCCS Import'!$G$3&amp;"$O$54"),8,)</f>
        <v>0.65</v>
      </c>
      <c r="BB23" s="1">
        <f ca="1">VLOOKUP(A23,INDIRECT('LOCCS Import'!$F$3&amp;"$A$3"):INDIRECT('LOCCS Import'!$F$3&amp;"$O$54"),8,)</f>
        <v>0.68</v>
      </c>
      <c r="BC23" s="1">
        <f ca="1">VLOOKUP(A23,INDIRECT('LOCCS Import'!$E$3&amp;"$A$3"):INDIRECT('LOCCS Import'!$E$3&amp;"$O$54"),8,)</f>
        <v>0.72</v>
      </c>
      <c r="BD23" s="2">
        <f>VLOOKUP(A23,template!$A$3:$P$54,8,)</f>
        <v>0.66</v>
      </c>
      <c r="BE23" s="2">
        <f t="shared" ca="1" si="4"/>
        <v>0.54</v>
      </c>
      <c r="BF23" s="109">
        <f t="shared" ca="1" si="5"/>
        <v>49</v>
      </c>
    </row>
    <row r="24" spans="1:58" x14ac:dyDescent="0.3">
      <c r="A24" s="64" t="s">
        <v>27</v>
      </c>
      <c r="B24" s="61" t="s">
        <v>178</v>
      </c>
      <c r="C24" s="61" t="s">
        <v>179</v>
      </c>
      <c r="D24" s="57">
        <f ca="1">VLOOKUP(A24,INDIRECT('LOCCS Import'!$AA$3&amp;"$A$3"):INDIRECT('LOCCS Import'!$AA$3&amp;"$O$54"),7,)</f>
        <v>4</v>
      </c>
      <c r="E24" s="57">
        <f ca="1">VLOOKUP(A24,INDIRECT('LOCCS Import'!$Z$3&amp;"$A$3"):INDIRECT('LOCCS Import'!$Z$3&amp;"$O$54"),7,)</f>
        <v>3.9</v>
      </c>
      <c r="F24" s="57">
        <f ca="1">VLOOKUP(A24,INDIRECT('LOCCS Import'!$Y$3&amp;"$A$3"):INDIRECT('LOCCS Import'!$Y$3&amp;"$O$54"),7,)</f>
        <v>3.77</v>
      </c>
      <c r="G24" s="57">
        <f ca="1">VLOOKUP(A24,INDIRECT('LOCCS Import'!$X$3&amp;"$A$3"):INDIRECT('LOCCS Import'!$X$3&amp;"$O$54"),7,)</f>
        <v>3.69</v>
      </c>
      <c r="H24" s="57">
        <f ca="1">VLOOKUP(A24,INDIRECT('LOCCS Import'!$W$3&amp;"$A$3"):INDIRECT('LOCCS Import'!$W$3&amp;"$O$54"),7,)</f>
        <v>4.5599999999999996</v>
      </c>
      <c r="I24" s="57">
        <f ca="1">VLOOKUP(A24,INDIRECT('LOCCS Import'!$V$3&amp;"$A$3"):INDIRECT('LOCCS Import'!$V$3&amp;"$O$54"),7,)</f>
        <v>4.51</v>
      </c>
      <c r="J24" s="57">
        <f ca="1">VLOOKUP(A24,INDIRECT('LOCCS Import'!$U$3&amp;"$A$3"):INDIRECT('LOCCS Import'!$U$3&amp;"$O$54"),7,)</f>
        <v>4.3099999999999996</v>
      </c>
      <c r="K24" s="57">
        <f ca="1">VLOOKUP(A24,INDIRECT('LOCCS Import'!$T$3&amp;"$A$3"):INDIRECT('LOCCS Import'!$T$3&amp;"$O$54"),7,)</f>
        <v>4.22</v>
      </c>
      <c r="L24" s="57">
        <f ca="1">VLOOKUP(A24,INDIRECT('LOCCS Import'!$S$3&amp;"$A$3"):INDIRECT('LOCCS Import'!$S$3&amp;"$O$54"),7,)</f>
        <v>4.17</v>
      </c>
      <c r="M24" s="57">
        <f ca="1">VLOOKUP(A24,INDIRECT('LOCCS Import'!$R$3&amp;"$A$3"):INDIRECT('LOCCS Import'!$R$3&amp;"$O$54"),7,)</f>
        <v>4.17</v>
      </c>
      <c r="N24" s="57">
        <f ca="1">VLOOKUP(A24,INDIRECT('LOCCS Import'!$Q$3&amp;"$A$3"):INDIRECT('LOCCS Import'!$Q$3&amp;"$O$54"),7,)</f>
        <v>4.0999999999999996</v>
      </c>
      <c r="O24" s="57">
        <f ca="1">VLOOKUP(A24,INDIRECT('LOCCS Import'!$P$3&amp;"$A$3"):INDIRECT('LOCCS Import'!$P$3&amp;"$O$54"),7,)</f>
        <v>4.0999999999999996</v>
      </c>
      <c r="P24" s="57">
        <f ca="1">VLOOKUP(A24,INDIRECT('LOCCS Import'!$O$3&amp;"$A$3"):INDIRECT('LOCCS Import'!$O$3&amp;"$O$54"),7,)</f>
        <v>3.99</v>
      </c>
      <c r="Q24" s="57">
        <f ca="1">VLOOKUP(A24,INDIRECT('LOCCS Import'!$N$3&amp;"$A$3"):INDIRECT('LOCCS Import'!$N$3&amp;"$O$54"),7,)</f>
        <v>3.97</v>
      </c>
      <c r="R24" s="57">
        <f ca="1">VLOOKUP(A24,INDIRECT('LOCCS Import'!$M$3&amp;"$A$3"):INDIRECT('LOCCS Import'!$M$3&amp;"$O$54"),7,)</f>
        <v>3.93</v>
      </c>
      <c r="S24" s="57">
        <f ca="1">VLOOKUP(A24,INDIRECT('LOCCS Import'!$L$3&amp;"$A$3"):INDIRECT('LOCCS Import'!$L$3&amp;"$O$54"),7,)</f>
        <v>3.72</v>
      </c>
      <c r="T24" s="57">
        <f ca="1">VLOOKUP(A24,INDIRECT('LOCCS Import'!$K$3&amp;"$A$3"):INDIRECT('LOCCS Import'!$K$3&amp;"$O$54"),7,)</f>
        <v>4.67</v>
      </c>
      <c r="U24" s="57">
        <f ca="1">VLOOKUP(A24,INDIRECT('LOCCS Import'!$J$3&amp;"$A$3"):INDIRECT('LOCCS Import'!$J$3&amp;"$O$54"),7,)</f>
        <v>4.53</v>
      </c>
      <c r="V24" s="57">
        <f ca="1">VLOOKUP(A24,INDIRECT('LOCCS Import'!$I$3&amp;"$A$3"):INDIRECT('LOCCS Import'!$I$3&amp;"$O$54"),7,)</f>
        <v>4.41</v>
      </c>
      <c r="W24" s="57">
        <f ca="1">VLOOKUP(A24,INDIRECT('LOCCS Import'!$H$3&amp;"$A$3"):INDIRECT('LOCCS Import'!$H$3&amp;"$O$54"),7,)</f>
        <v>4.3499999999999996</v>
      </c>
      <c r="X24" s="57">
        <f ca="1">VLOOKUP(A24,INDIRECT('LOCCS Import'!$G$3&amp;"$A$3"):INDIRECT('LOCCS Import'!$G$3&amp;"$O$54"),7,)</f>
        <v>4.28</v>
      </c>
      <c r="Y24" s="57">
        <f ca="1">VLOOKUP(A24,INDIRECT('LOCCS Import'!$F$3&amp;"$A$3"):INDIRECT('LOCCS Import'!$F$3&amp;"$O$54"),7,)</f>
        <v>4.21</v>
      </c>
      <c r="Z24" s="57">
        <f ca="1">VLOOKUP(A24,INDIRECT('LOCCS Import'!$E$3&amp;"$A$3"):INDIRECT('LOCCS Import'!$E$3&amp;"$O$54"),7,)</f>
        <v>4.17</v>
      </c>
      <c r="AA24" s="57">
        <f>VLOOKUP(A24,template!$A$3:$P$54,7,)</f>
        <v>4.09</v>
      </c>
      <c r="AB24" s="55">
        <f t="shared" ca="1" si="0"/>
        <v>4.67</v>
      </c>
      <c r="AC24" s="57">
        <f t="shared" ca="1" si="1"/>
        <v>3.72</v>
      </c>
      <c r="AD24" s="58">
        <f t="shared" ca="1" si="2"/>
        <v>4.1933333333333342</v>
      </c>
      <c r="AE24" s="80">
        <f t="shared" ca="1" si="3"/>
        <v>45</v>
      </c>
      <c r="AF24" s="127"/>
      <c r="AG24" s="3">
        <f ca="1">VLOOKUP(A24,INDIRECT('LOCCS Import'!$AA$3&amp;"$A$3"):INDIRECT('LOCCS Import'!$AA$3&amp;"$O$54"),8,)</f>
        <v>0.66</v>
      </c>
      <c r="AH24" s="1">
        <f ca="1">VLOOKUP(A24,INDIRECT('LOCCS Import'!$Z$3&amp;"$A$3"):INDIRECT('LOCCS Import'!$Z$3&amp;"$O$54"),8,)</f>
        <v>0.71</v>
      </c>
      <c r="AI24" s="1">
        <f ca="1">VLOOKUP(A24,INDIRECT('LOCCS Import'!$Y$3&amp;"$A$3"):INDIRECT('LOCCS Import'!$Y$3&amp;"$O$54"),8,)</f>
        <v>0.77</v>
      </c>
      <c r="AJ24" s="1">
        <f ca="1">VLOOKUP(A24,INDIRECT('LOCCS Import'!$X$3&amp;"$A$3"):INDIRECT('LOCCS Import'!$X$3&amp;"$O$54"),8,)</f>
        <v>0.78</v>
      </c>
      <c r="AK24" s="1">
        <f ca="1">VLOOKUP(A24,INDIRECT('LOCCS Import'!$W$3&amp;"$A$3"):INDIRECT('LOCCS Import'!$W$3&amp;"$O$54"),8,)</f>
        <v>0.84</v>
      </c>
      <c r="AL24" s="1">
        <f ca="1">VLOOKUP(A24,INDIRECT('LOCCS Import'!$V$3&amp;"$A$3"):INDIRECT('LOCCS Import'!$V$3&amp;"$O$54"),8,)</f>
        <v>0.81</v>
      </c>
      <c r="AM24" s="1">
        <f ca="1">VLOOKUP(A24,INDIRECT('LOCCS Import'!$U$3&amp;"$A$3"):INDIRECT('LOCCS Import'!$U$3&amp;"$O$54"),8,)</f>
        <v>0.96</v>
      </c>
      <c r="AN24" s="1">
        <f ca="1">VLOOKUP(A24,INDIRECT('LOCCS Import'!$T$3&amp;"$A$3"):INDIRECT('LOCCS Import'!$T$3&amp;"$O$54"),8,)</f>
        <v>0.99</v>
      </c>
      <c r="AO24" s="1">
        <f ca="1">VLOOKUP(A24,INDIRECT('LOCCS Import'!$S$3&amp;"$A$3"):INDIRECT('LOCCS Import'!$S$3&amp;"$O$54"),8,)</f>
        <v>0.95</v>
      </c>
      <c r="AP24" s="1">
        <f ca="1">VLOOKUP(A24,INDIRECT('LOCCS Import'!$R$3&amp;"$A$3"):INDIRECT('LOCCS Import'!$R$3&amp;"$O$54"),8,)</f>
        <v>0.95</v>
      </c>
      <c r="AQ24" s="1">
        <f ca="1">VLOOKUP(A24,INDIRECT('LOCCS Import'!$Q$3&amp;"$A$3"):INDIRECT('LOCCS Import'!$Q$3&amp;"$O$54"),8,)</f>
        <v>0.98</v>
      </c>
      <c r="AR24" s="1">
        <f ca="1">VLOOKUP(A24,INDIRECT('LOCCS Import'!$P$3&amp;"$A$3"):INDIRECT('LOCCS Import'!$P$3&amp;"$O$54"),8,)</f>
        <v>0.98</v>
      </c>
      <c r="AS24" s="1">
        <f ca="1">VLOOKUP(A24,INDIRECT('LOCCS Import'!$O$3&amp;"$A$3"):INDIRECT('LOCCS Import'!$O$3&amp;"$O$54"),8,)</f>
        <v>1</v>
      </c>
      <c r="AT24" s="1">
        <f ca="1">VLOOKUP(A24,INDIRECT('LOCCS Import'!$N$3&amp;"$A$3"):INDIRECT('LOCCS Import'!$N$3&amp;"$O$54"),8,)</f>
        <v>0.93</v>
      </c>
      <c r="AU24" s="1">
        <f ca="1">VLOOKUP(A24,INDIRECT('LOCCS Import'!$M$3&amp;"$A$3"):INDIRECT('LOCCS Import'!$M$3&amp;"$O$54"),8,)</f>
        <v>0.84</v>
      </c>
      <c r="AV24" s="1">
        <f ca="1">VLOOKUP(A24,INDIRECT('LOCCS Import'!$L$3&amp;"$A$3"):INDIRECT('LOCCS Import'!$L$3&amp;"$O$54"),8,)</f>
        <v>0.94</v>
      </c>
      <c r="AW24" s="1">
        <f ca="1">VLOOKUP(A24,INDIRECT('LOCCS Import'!$K$3&amp;"$A$3"):INDIRECT('LOCCS Import'!$K$3&amp;"$O$54"),8,)</f>
        <v>0.83</v>
      </c>
      <c r="AX24" s="1">
        <f ca="1">VLOOKUP(A24,INDIRECT('LOCCS Import'!$J$3&amp;"$A$3"):INDIRECT('LOCCS Import'!$J$3&amp;"$O$54"),8,)</f>
        <v>0.91</v>
      </c>
      <c r="AY24" s="1">
        <f ca="1">VLOOKUP(A24,INDIRECT('LOCCS Import'!$I$3&amp;"$A$3"):INDIRECT('LOCCS Import'!$I$3&amp;"$O$54"),8,)</f>
        <v>0.84</v>
      </c>
      <c r="AZ24" s="1">
        <f ca="1">VLOOKUP(A24,INDIRECT('LOCCS Import'!$H$3&amp;"$A$3"):INDIRECT('LOCCS Import'!$H$3&amp;"$O$54"),8,)</f>
        <v>0.81</v>
      </c>
      <c r="BA24" s="1">
        <f ca="1">VLOOKUP(A24,INDIRECT('LOCCS Import'!$G$3&amp;"$A$3"):INDIRECT('LOCCS Import'!$G$3&amp;"$O$54"),8,)</f>
        <v>0.83</v>
      </c>
      <c r="BB24" s="1">
        <f ca="1">VLOOKUP(A24,INDIRECT('LOCCS Import'!$F$3&amp;"$A$3"):INDIRECT('LOCCS Import'!$F$3&amp;"$O$54"),8,)</f>
        <v>0.9</v>
      </c>
      <c r="BC24" s="1">
        <f ca="1">VLOOKUP(A24,INDIRECT('LOCCS Import'!$E$3&amp;"$A$3"):INDIRECT('LOCCS Import'!$E$3&amp;"$O$54"),8,)</f>
        <v>0.88</v>
      </c>
      <c r="BD24" s="2">
        <f>VLOOKUP(A24,template!$A$3:$P$54,8,)</f>
        <v>0.91</v>
      </c>
      <c r="BE24" s="2">
        <f t="shared" ca="1" si="4"/>
        <v>0.88500000000000012</v>
      </c>
      <c r="BF24" s="109">
        <f t="shared" ca="1" si="5"/>
        <v>32</v>
      </c>
    </row>
    <row r="25" spans="1:58" x14ac:dyDescent="0.3">
      <c r="A25" s="64" t="s">
        <v>49</v>
      </c>
      <c r="B25" s="61" t="s">
        <v>157</v>
      </c>
      <c r="C25" s="61" t="s">
        <v>180</v>
      </c>
      <c r="D25" s="57">
        <f ca="1">VLOOKUP(A25,INDIRECT('LOCCS Import'!$AA$3&amp;"$A$3"):INDIRECT('LOCCS Import'!$AA$3&amp;"$O$54"),7,)</f>
        <v>2.73</v>
      </c>
      <c r="E25" s="57">
        <f ca="1">VLOOKUP(A25,INDIRECT('LOCCS Import'!$Z$3&amp;"$A$3"):INDIRECT('LOCCS Import'!$Z$3&amp;"$O$54"),7,)</f>
        <v>2.54</v>
      </c>
      <c r="F25" s="57">
        <f ca="1">VLOOKUP(A25,INDIRECT('LOCCS Import'!$Y$3&amp;"$A$3"):INDIRECT('LOCCS Import'!$Y$3&amp;"$O$54"),7,)</f>
        <v>2.5099999999999998</v>
      </c>
      <c r="G25" s="57">
        <f ca="1">VLOOKUP(A25,INDIRECT('LOCCS Import'!$X$3&amp;"$A$3"):INDIRECT('LOCCS Import'!$X$3&amp;"$O$54"),7,)</f>
        <v>2.41</v>
      </c>
      <c r="H25" s="57">
        <f ca="1">VLOOKUP(A25,INDIRECT('LOCCS Import'!$W$3&amp;"$A$3"):INDIRECT('LOCCS Import'!$W$3&amp;"$O$54"),7,)</f>
        <v>2.38</v>
      </c>
      <c r="I25" s="57">
        <f ca="1">VLOOKUP(A25,INDIRECT('LOCCS Import'!$V$3&amp;"$A$3"):INDIRECT('LOCCS Import'!$V$3&amp;"$O$54"),7,)</f>
        <v>2.2999999999999998</v>
      </c>
      <c r="J25" s="57">
        <f ca="1">VLOOKUP(A25,INDIRECT('LOCCS Import'!$U$3&amp;"$A$3"):INDIRECT('LOCCS Import'!$U$3&amp;"$O$54"),7,)</f>
        <v>2.2799999999999998</v>
      </c>
      <c r="K25" s="57">
        <f ca="1">VLOOKUP(A25,INDIRECT('LOCCS Import'!$T$3&amp;"$A$3"):INDIRECT('LOCCS Import'!$T$3&amp;"$O$54"),7,)</f>
        <v>2.1800000000000002</v>
      </c>
      <c r="L25" s="57">
        <f ca="1">VLOOKUP(A25,INDIRECT('LOCCS Import'!$S$3&amp;"$A$3"):INDIRECT('LOCCS Import'!$S$3&amp;"$O$54"),7,)</f>
        <v>3.11</v>
      </c>
      <c r="M25" s="57">
        <f ca="1">VLOOKUP(A25,INDIRECT('LOCCS Import'!$R$3&amp;"$A$3"):INDIRECT('LOCCS Import'!$R$3&amp;"$O$54"),7,)</f>
        <v>3.02</v>
      </c>
      <c r="N25" s="57">
        <f ca="1">VLOOKUP(A25,INDIRECT('LOCCS Import'!$Q$3&amp;"$A$3"):INDIRECT('LOCCS Import'!$Q$3&amp;"$O$54"),7,)</f>
        <v>2.94</v>
      </c>
      <c r="O25" s="57">
        <f ca="1">VLOOKUP(A25,INDIRECT('LOCCS Import'!$P$3&amp;"$A$3"):INDIRECT('LOCCS Import'!$P$3&amp;"$O$54"),7,)</f>
        <v>2.94</v>
      </c>
      <c r="P25" s="57">
        <f ca="1">VLOOKUP(A25,INDIRECT('LOCCS Import'!$O$3&amp;"$A$3"):INDIRECT('LOCCS Import'!$O$3&amp;"$O$54"),7,)</f>
        <v>2.86</v>
      </c>
      <c r="Q25" s="57">
        <f ca="1">VLOOKUP(A25,INDIRECT('LOCCS Import'!$N$3&amp;"$A$3"):INDIRECT('LOCCS Import'!$N$3&amp;"$O$54"),7,)</f>
        <v>2.77</v>
      </c>
      <c r="R25" s="57">
        <f ca="1">VLOOKUP(A25,INDIRECT('LOCCS Import'!$M$3&amp;"$A$3"):INDIRECT('LOCCS Import'!$M$3&amp;"$O$54"),7,)</f>
        <v>2.74</v>
      </c>
      <c r="S25" s="57">
        <f ca="1">VLOOKUP(A25,INDIRECT('LOCCS Import'!$L$3&amp;"$A$3"):INDIRECT('LOCCS Import'!$L$3&amp;"$O$54"),7,)</f>
        <v>2.66</v>
      </c>
      <c r="T25" s="57">
        <f ca="1">VLOOKUP(A25,INDIRECT('LOCCS Import'!$K$3&amp;"$A$3"):INDIRECT('LOCCS Import'!$K$3&amp;"$O$54"),7,)</f>
        <v>2.58</v>
      </c>
      <c r="U25" s="57">
        <f ca="1">VLOOKUP(A25,INDIRECT('LOCCS Import'!$J$3&amp;"$A$3"):INDIRECT('LOCCS Import'!$J$3&amp;"$O$54"),7,)</f>
        <v>2.5</v>
      </c>
      <c r="V25" s="57">
        <f ca="1">VLOOKUP(A25,INDIRECT('LOCCS Import'!$I$3&amp;"$A$3"):INDIRECT('LOCCS Import'!$I$3&amp;"$O$54"),7,)</f>
        <v>2.4500000000000002</v>
      </c>
      <c r="W25" s="57">
        <f ca="1">VLOOKUP(A25,INDIRECT('LOCCS Import'!$H$3&amp;"$A$3"):INDIRECT('LOCCS Import'!$H$3&amp;"$O$54"),7,)</f>
        <v>2.41</v>
      </c>
      <c r="X25" s="57">
        <f ca="1">VLOOKUP(A25,INDIRECT('LOCCS Import'!$G$3&amp;"$A$3"):INDIRECT('LOCCS Import'!$G$3&amp;"$O$54"),7,)</f>
        <v>2.39</v>
      </c>
      <c r="Y25" s="57">
        <f ca="1">VLOOKUP(A25,INDIRECT('LOCCS Import'!$F$3&amp;"$A$3"):INDIRECT('LOCCS Import'!$F$3&amp;"$O$54"),7,)</f>
        <v>3.33</v>
      </c>
      <c r="Z25" s="57">
        <f ca="1">VLOOKUP(A25,INDIRECT('LOCCS Import'!$E$3&amp;"$A$3"):INDIRECT('LOCCS Import'!$E$3&amp;"$O$54"),7,)</f>
        <v>3.23</v>
      </c>
      <c r="AA25" s="57">
        <f>VLOOKUP(A25,template!$A$3:$P$54,7,)</f>
        <v>3.12</v>
      </c>
      <c r="AB25" s="55">
        <f t="shared" ca="1" si="0"/>
        <v>3.33</v>
      </c>
      <c r="AC25" s="57">
        <f t="shared" ca="1" si="1"/>
        <v>2.39</v>
      </c>
      <c r="AD25" s="58">
        <f t="shared" ca="1" si="2"/>
        <v>2.7533333333333334</v>
      </c>
      <c r="AE25" s="80">
        <f t="shared" ca="1" si="3"/>
        <v>20</v>
      </c>
      <c r="AF25" s="127"/>
      <c r="AG25" s="3">
        <f ca="1">VLOOKUP(A25,INDIRECT('LOCCS Import'!$AA$3&amp;"$A$3"):INDIRECT('LOCCS Import'!$AA$3&amp;"$O$54"),8,)</f>
        <v>0.62</v>
      </c>
      <c r="AH25" s="1">
        <f ca="1">VLOOKUP(A25,INDIRECT('LOCCS Import'!$Z$3&amp;"$A$3"):INDIRECT('LOCCS Import'!$Z$3&amp;"$O$54"),8,)</f>
        <v>0.73</v>
      </c>
      <c r="AI25" s="1">
        <f ca="1">VLOOKUP(A25,INDIRECT('LOCCS Import'!$Y$3&amp;"$A$3"):INDIRECT('LOCCS Import'!$Y$3&amp;"$O$54"),8,)</f>
        <v>0.71</v>
      </c>
      <c r="AJ25" s="1">
        <f ca="1">VLOOKUP(A25,INDIRECT('LOCCS Import'!$X$3&amp;"$A$3"):INDIRECT('LOCCS Import'!$X$3&amp;"$O$54"),8,)</f>
        <v>0.74</v>
      </c>
      <c r="AK25" s="1">
        <f ca="1">VLOOKUP(A25,INDIRECT('LOCCS Import'!$W$3&amp;"$A$3"):INDIRECT('LOCCS Import'!$W$3&amp;"$O$54"),8,)</f>
        <v>0.71</v>
      </c>
      <c r="AL25" s="1">
        <f ca="1">VLOOKUP(A25,INDIRECT('LOCCS Import'!$V$3&amp;"$A$3"):INDIRECT('LOCCS Import'!$V$3&amp;"$O$54"),8,)</f>
        <v>0.76</v>
      </c>
      <c r="AM25" s="1">
        <f ca="1">VLOOKUP(A25,INDIRECT('LOCCS Import'!$U$3&amp;"$A$3"):INDIRECT('LOCCS Import'!$U$3&amp;"$O$54"),8,)</f>
        <v>0.74</v>
      </c>
      <c r="AN25" s="1">
        <f ca="1">VLOOKUP(A25,INDIRECT('LOCCS Import'!$T$3&amp;"$A$3"):INDIRECT('LOCCS Import'!$T$3&amp;"$O$54"),8,)</f>
        <v>0.77</v>
      </c>
      <c r="AO25" s="1">
        <f ca="1">VLOOKUP(A25,INDIRECT('LOCCS Import'!$S$3&amp;"$A$3"):INDIRECT('LOCCS Import'!$S$3&amp;"$O$54"),8,)</f>
        <v>0.85</v>
      </c>
      <c r="AP25" s="1">
        <f ca="1">VLOOKUP(A25,INDIRECT('LOCCS Import'!$R$3&amp;"$A$3"):INDIRECT('LOCCS Import'!$R$3&amp;"$O$54"),8,)</f>
        <v>0.91</v>
      </c>
      <c r="AQ25" s="1">
        <f ca="1">VLOOKUP(A25,INDIRECT('LOCCS Import'!$Q$3&amp;"$A$3"):INDIRECT('LOCCS Import'!$Q$3&amp;"$O$54"),8,)</f>
        <v>0.89</v>
      </c>
      <c r="AR25" s="1">
        <f ca="1">VLOOKUP(A25,INDIRECT('LOCCS Import'!$P$3&amp;"$A$3"):INDIRECT('LOCCS Import'!$P$3&amp;"$O$54"),8,)</f>
        <v>0.89</v>
      </c>
      <c r="AS25" s="1">
        <f ca="1">VLOOKUP(A25,INDIRECT('LOCCS Import'!$O$3&amp;"$A$3"):INDIRECT('LOCCS Import'!$O$3&amp;"$O$54"),8,)</f>
        <v>0.9</v>
      </c>
      <c r="AT25" s="1">
        <f ca="1">VLOOKUP(A25,INDIRECT('LOCCS Import'!$N$3&amp;"$A$3"):INDIRECT('LOCCS Import'!$N$3&amp;"$O$54"),8,)</f>
        <v>0.8</v>
      </c>
      <c r="AU25" s="1">
        <f ca="1">VLOOKUP(A25,INDIRECT('LOCCS Import'!$M$3&amp;"$A$3"):INDIRECT('LOCCS Import'!$M$3&amp;"$O$54"),8,)</f>
        <v>0.79</v>
      </c>
      <c r="AV25" s="1">
        <f ca="1">VLOOKUP(A25,INDIRECT('LOCCS Import'!$L$3&amp;"$A$3"):INDIRECT('LOCCS Import'!$L$3&amp;"$O$54"),8,)</f>
        <v>0.76</v>
      </c>
      <c r="AW25" s="1">
        <f ca="1">VLOOKUP(A25,INDIRECT('LOCCS Import'!$K$3&amp;"$A$3"):INDIRECT('LOCCS Import'!$K$3&amp;"$O$54"),8,)</f>
        <v>0.82</v>
      </c>
      <c r="AX25" s="1">
        <f ca="1">VLOOKUP(A25,INDIRECT('LOCCS Import'!$J$3&amp;"$A$3"):INDIRECT('LOCCS Import'!$J$3&amp;"$O$54"),8,)</f>
        <v>0.8</v>
      </c>
      <c r="AY25" s="1">
        <f ca="1">VLOOKUP(A25,INDIRECT('LOCCS Import'!$I$3&amp;"$A$3"):INDIRECT('LOCCS Import'!$I$3&amp;"$O$54"),8,)</f>
        <v>0.84</v>
      </c>
      <c r="AZ25" s="1">
        <f ca="1">VLOOKUP(A25,INDIRECT('LOCCS Import'!$H$3&amp;"$A$3"):INDIRECT('LOCCS Import'!$H$3&amp;"$O$54"),8,)</f>
        <v>0.79</v>
      </c>
      <c r="BA25" s="1">
        <f ca="1">VLOOKUP(A25,INDIRECT('LOCCS Import'!$G$3&amp;"$A$3"):INDIRECT('LOCCS Import'!$G$3&amp;"$O$54"),8,)</f>
        <v>0.72</v>
      </c>
      <c r="BB25" s="1">
        <f ca="1">VLOOKUP(A25,INDIRECT('LOCCS Import'!$F$3&amp;"$A$3"):INDIRECT('LOCCS Import'!$F$3&amp;"$O$54"),8,)</f>
        <v>0.72</v>
      </c>
      <c r="BC25" s="1">
        <f ca="1">VLOOKUP(A25,INDIRECT('LOCCS Import'!$E$3&amp;"$A$3"):INDIRECT('LOCCS Import'!$E$3&amp;"$O$54"),8,)</f>
        <v>0.75</v>
      </c>
      <c r="BD25" s="2">
        <f>VLOOKUP(A25,template!$A$3:$P$54,8,)</f>
        <v>0.8</v>
      </c>
      <c r="BE25" s="2">
        <f t="shared" ca="1" si="4"/>
        <v>0.79083333333333339</v>
      </c>
      <c r="BF25" s="109">
        <f t="shared" ca="1" si="5"/>
        <v>43</v>
      </c>
    </row>
    <row r="26" spans="1:58" x14ac:dyDescent="0.3">
      <c r="A26" s="64" t="s">
        <v>33</v>
      </c>
      <c r="B26" s="61" t="s">
        <v>155</v>
      </c>
      <c r="C26" s="61" t="s">
        <v>181</v>
      </c>
      <c r="D26" s="57">
        <f ca="1">VLOOKUP(A26,INDIRECT('LOCCS Import'!$AA$3&amp;"$A$3"):INDIRECT('LOCCS Import'!$AA$3&amp;"$O$54"),7,)</f>
        <v>3.45</v>
      </c>
      <c r="E26" s="57">
        <f ca="1">VLOOKUP(A26,INDIRECT('LOCCS Import'!$Z$3&amp;"$A$3"):INDIRECT('LOCCS Import'!$Z$3&amp;"$O$54"),7,)</f>
        <v>3.36</v>
      </c>
      <c r="F26" s="57">
        <f ca="1">VLOOKUP(A26,INDIRECT('LOCCS Import'!$Y$3&amp;"$A$3"):INDIRECT('LOCCS Import'!$Y$3&amp;"$O$54"),7,)</f>
        <v>3.14</v>
      </c>
      <c r="G26" s="57">
        <f ca="1">VLOOKUP(A26,INDIRECT('LOCCS Import'!$X$3&amp;"$A$3"):INDIRECT('LOCCS Import'!$X$3&amp;"$O$54"),7,)</f>
        <v>3.02</v>
      </c>
      <c r="H26" s="57">
        <f ca="1">VLOOKUP(A26,INDIRECT('LOCCS Import'!$W$3&amp;"$A$3"):INDIRECT('LOCCS Import'!$W$3&amp;"$O$54"),7,)</f>
        <v>2.93</v>
      </c>
      <c r="I26" s="57">
        <f ca="1">VLOOKUP(A26,INDIRECT('LOCCS Import'!$V$3&amp;"$A$3"):INDIRECT('LOCCS Import'!$V$3&amp;"$O$54"),7,)</f>
        <v>2.8</v>
      </c>
      <c r="J26" s="57">
        <f ca="1">VLOOKUP(A26,INDIRECT('LOCCS Import'!$U$3&amp;"$A$3"):INDIRECT('LOCCS Import'!$U$3&amp;"$O$54"),7,)</f>
        <v>2.68</v>
      </c>
      <c r="K26" s="57">
        <f ca="1">VLOOKUP(A26,INDIRECT('LOCCS Import'!$T$3&amp;"$A$3"):INDIRECT('LOCCS Import'!$T$3&amp;"$O$54"),7,)</f>
        <v>2.56</v>
      </c>
      <c r="L26" s="57">
        <f ca="1">VLOOKUP(A26,INDIRECT('LOCCS Import'!$S$3&amp;"$A$3"):INDIRECT('LOCCS Import'!$S$3&amp;"$O$54"),7,)</f>
        <v>3.54</v>
      </c>
      <c r="M26" s="57">
        <f ca="1">VLOOKUP(A26,INDIRECT('LOCCS Import'!$R$3&amp;"$A$3"):INDIRECT('LOCCS Import'!$R$3&amp;"$O$54"),7,)</f>
        <v>3.4</v>
      </c>
      <c r="N26" s="57">
        <f ca="1">VLOOKUP(A26,INDIRECT('LOCCS Import'!$Q$3&amp;"$A$3"):INDIRECT('LOCCS Import'!$Q$3&amp;"$O$54"),7,)</f>
        <v>3.34</v>
      </c>
      <c r="O26" s="57">
        <f ca="1">VLOOKUP(A26,INDIRECT('LOCCS Import'!$P$3&amp;"$A$3"):INDIRECT('LOCCS Import'!$P$3&amp;"$O$54"),7,)</f>
        <v>3.34</v>
      </c>
      <c r="P26" s="57">
        <f ca="1">VLOOKUP(A26,INDIRECT('LOCCS Import'!$O$3&amp;"$A$3"):INDIRECT('LOCCS Import'!$O$3&amp;"$O$54"),7,)</f>
        <v>3.24</v>
      </c>
      <c r="Q26" s="57">
        <f ca="1">VLOOKUP(A26,INDIRECT('LOCCS Import'!$N$3&amp;"$A$3"):INDIRECT('LOCCS Import'!$N$3&amp;"$O$54"),7,)</f>
        <v>3.17</v>
      </c>
      <c r="R26" s="57">
        <f ca="1">VLOOKUP(A26,INDIRECT('LOCCS Import'!$M$3&amp;"$A$3"):INDIRECT('LOCCS Import'!$M$3&amp;"$O$54"),7,)</f>
        <v>3.13</v>
      </c>
      <c r="S26" s="57">
        <f ca="1">VLOOKUP(A26,INDIRECT('LOCCS Import'!$L$3&amp;"$A$3"):INDIRECT('LOCCS Import'!$L$3&amp;"$O$54"),7,)</f>
        <v>3</v>
      </c>
      <c r="T26" s="57">
        <f ca="1">VLOOKUP(A26,INDIRECT('LOCCS Import'!$K$3&amp;"$A$3"):INDIRECT('LOCCS Import'!$K$3&amp;"$O$54"),7,)</f>
        <v>3.97</v>
      </c>
      <c r="U26" s="57">
        <f ca="1">VLOOKUP(A26,INDIRECT('LOCCS Import'!$J$3&amp;"$A$3"):INDIRECT('LOCCS Import'!$J$3&amp;"$O$54"),7,)</f>
        <v>3.79</v>
      </c>
      <c r="V26" s="57">
        <f ca="1">VLOOKUP(A26,INDIRECT('LOCCS Import'!$I$3&amp;"$A$3"):INDIRECT('LOCCS Import'!$I$3&amp;"$O$54"),7,)</f>
        <v>3.69</v>
      </c>
      <c r="W26" s="57">
        <f ca="1">VLOOKUP(A26,INDIRECT('LOCCS Import'!$H$3&amp;"$A$3"):INDIRECT('LOCCS Import'!$H$3&amp;"$O$54"),7,)</f>
        <v>3.56</v>
      </c>
      <c r="X26" s="57">
        <f ca="1">VLOOKUP(A26,INDIRECT('LOCCS Import'!$G$3&amp;"$A$3"):INDIRECT('LOCCS Import'!$G$3&amp;"$O$54"),7,)</f>
        <v>3.49</v>
      </c>
      <c r="Y26" s="57">
        <f ca="1">VLOOKUP(A26,INDIRECT('LOCCS Import'!$F$3&amp;"$A$3"):INDIRECT('LOCCS Import'!$F$3&amp;"$O$54"),7,)</f>
        <v>3.41</v>
      </c>
      <c r="Z26" s="57">
        <f ca="1">VLOOKUP(A26,INDIRECT('LOCCS Import'!$E$3&amp;"$A$3"):INDIRECT('LOCCS Import'!$E$3&amp;"$O$54"),7,)</f>
        <v>3.38</v>
      </c>
      <c r="AA26" s="57">
        <f>VLOOKUP(A26,template!$A$3:$P$54,7,)</f>
        <v>3.33</v>
      </c>
      <c r="AB26" s="55">
        <f t="shared" ca="1" si="0"/>
        <v>3.97</v>
      </c>
      <c r="AC26" s="57">
        <f t="shared" ca="1" si="1"/>
        <v>3</v>
      </c>
      <c r="AD26" s="58">
        <f t="shared" ca="1" si="2"/>
        <v>3.43</v>
      </c>
      <c r="AE26" s="80">
        <f t="shared" ca="1" si="3"/>
        <v>33</v>
      </c>
      <c r="AF26" s="127"/>
      <c r="AG26" s="3">
        <f ca="1">VLOOKUP(A26,INDIRECT('LOCCS Import'!$AA$3&amp;"$A$3"):INDIRECT('LOCCS Import'!$AA$3&amp;"$O$54"),8,)</f>
        <v>1.25</v>
      </c>
      <c r="AH26" s="1">
        <f ca="1">VLOOKUP(A26,INDIRECT('LOCCS Import'!$Z$3&amp;"$A$3"):INDIRECT('LOCCS Import'!$Z$3&amp;"$O$54"),8,)</f>
        <v>1.22</v>
      </c>
      <c r="AI26" s="1">
        <f ca="1">VLOOKUP(A26,INDIRECT('LOCCS Import'!$Y$3&amp;"$A$3"):INDIRECT('LOCCS Import'!$Y$3&amp;"$O$54"),8,)</f>
        <v>1.37</v>
      </c>
      <c r="AJ26" s="1">
        <f ca="1">VLOOKUP(A26,INDIRECT('LOCCS Import'!$X$3&amp;"$A$3"):INDIRECT('LOCCS Import'!$X$3&amp;"$O$54"),8,)</f>
        <v>1.44</v>
      </c>
      <c r="AK26" s="1">
        <f ca="1">VLOOKUP(A26,INDIRECT('LOCCS Import'!$W$3&amp;"$A$3"):INDIRECT('LOCCS Import'!$W$3&amp;"$O$54"),8,)</f>
        <v>1.41</v>
      </c>
      <c r="AL26" s="1">
        <f ca="1">VLOOKUP(A26,INDIRECT('LOCCS Import'!$V$3&amp;"$A$3"):INDIRECT('LOCCS Import'!$V$3&amp;"$O$54"),8,)</f>
        <v>1.47</v>
      </c>
      <c r="AM26" s="1">
        <f ca="1">VLOOKUP(A26,INDIRECT('LOCCS Import'!$U$3&amp;"$A$3"):INDIRECT('LOCCS Import'!$U$3&amp;"$O$54"),8,)</f>
        <v>1.45</v>
      </c>
      <c r="AN26" s="1">
        <f ca="1">VLOOKUP(A26,INDIRECT('LOCCS Import'!$T$3&amp;"$A$3"):INDIRECT('LOCCS Import'!$T$3&amp;"$O$54"),8,)</f>
        <v>1.5</v>
      </c>
      <c r="AO26" s="1">
        <f ca="1">VLOOKUP(A26,INDIRECT('LOCCS Import'!$S$3&amp;"$A$3"):INDIRECT('LOCCS Import'!$S$3&amp;"$O$54"),8,)</f>
        <v>1.37</v>
      </c>
      <c r="AP26" s="1">
        <f ca="1">VLOOKUP(A26,INDIRECT('LOCCS Import'!$R$3&amp;"$A$3"):INDIRECT('LOCCS Import'!$R$3&amp;"$O$54"),8,)</f>
        <v>1.41</v>
      </c>
      <c r="AQ26" s="1">
        <f ca="1">VLOOKUP(A26,INDIRECT('LOCCS Import'!$Q$3&amp;"$A$3"):INDIRECT('LOCCS Import'!$Q$3&amp;"$O$54"),8,)</f>
        <v>1.37</v>
      </c>
      <c r="AR26" s="1">
        <f ca="1">VLOOKUP(A26,INDIRECT('LOCCS Import'!$P$3&amp;"$A$3"):INDIRECT('LOCCS Import'!$P$3&amp;"$O$54"),8,)</f>
        <v>1.37</v>
      </c>
      <c r="AS26" s="1">
        <f ca="1">VLOOKUP(A26,INDIRECT('LOCCS Import'!$O$3&amp;"$A$3"):INDIRECT('LOCCS Import'!$O$3&amp;"$O$54"),8,)</f>
        <v>1.26</v>
      </c>
      <c r="AT26" s="1">
        <f ca="1">VLOOKUP(A26,INDIRECT('LOCCS Import'!$N$3&amp;"$A$3"):INDIRECT('LOCCS Import'!$N$3&amp;"$O$54"),8,)</f>
        <v>1.24</v>
      </c>
      <c r="AU26" s="1">
        <f ca="1">VLOOKUP(A26,INDIRECT('LOCCS Import'!$M$3&amp;"$A$3"):INDIRECT('LOCCS Import'!$M$3&amp;"$O$54"),8,)</f>
        <v>1.05</v>
      </c>
      <c r="AV26" s="1">
        <f ca="1">VLOOKUP(A26,INDIRECT('LOCCS Import'!$L$3&amp;"$A$3"):INDIRECT('LOCCS Import'!$L$3&amp;"$O$54"),8,)</f>
        <v>1.06</v>
      </c>
      <c r="AW26" s="1">
        <f ca="1">VLOOKUP(A26,INDIRECT('LOCCS Import'!$K$3&amp;"$A$3"):INDIRECT('LOCCS Import'!$K$3&amp;"$O$54"),8,)</f>
        <v>1.03</v>
      </c>
      <c r="AX26" s="1">
        <f ca="1">VLOOKUP(A26,INDIRECT('LOCCS Import'!$J$3&amp;"$A$3"):INDIRECT('LOCCS Import'!$J$3&amp;"$O$54"),8,)</f>
        <v>1.0900000000000001</v>
      </c>
      <c r="AY26" s="1">
        <f ca="1">VLOOKUP(A26,INDIRECT('LOCCS Import'!$I$3&amp;"$A$3"):INDIRECT('LOCCS Import'!$I$3&amp;"$O$54"),8,)</f>
        <v>1.07</v>
      </c>
      <c r="AZ26" s="1">
        <f ca="1">VLOOKUP(A26,INDIRECT('LOCCS Import'!$H$3&amp;"$A$3"):INDIRECT('LOCCS Import'!$H$3&amp;"$O$54"),8,)</f>
        <v>1.07</v>
      </c>
      <c r="BA26" s="1">
        <f ca="1">VLOOKUP(A26,INDIRECT('LOCCS Import'!$G$3&amp;"$A$3"):INDIRECT('LOCCS Import'!$G$3&amp;"$O$54"),8,)</f>
        <v>1.08</v>
      </c>
      <c r="BB26" s="1">
        <f ca="1">VLOOKUP(A26,INDIRECT('LOCCS Import'!$F$3&amp;"$A$3"):INDIRECT('LOCCS Import'!$F$3&amp;"$O$54"),8,)</f>
        <v>1.01</v>
      </c>
      <c r="BC26" s="1">
        <f ca="1">VLOOKUP(A26,INDIRECT('LOCCS Import'!$E$3&amp;"$A$3"):INDIRECT('LOCCS Import'!$E$3&amp;"$O$54"),8,)</f>
        <v>0.99</v>
      </c>
      <c r="BD26" s="2">
        <f>VLOOKUP(A26,template!$A$3:$P$54,8,)</f>
        <v>0.99</v>
      </c>
      <c r="BE26" s="2">
        <f t="shared" ca="1" si="4"/>
        <v>1.0783333333333334</v>
      </c>
      <c r="BF26" s="109">
        <f t="shared" ca="1" si="5"/>
        <v>15</v>
      </c>
    </row>
    <row r="27" spans="1:58" x14ac:dyDescent="0.3">
      <c r="A27" s="64" t="s">
        <v>25</v>
      </c>
      <c r="B27" s="61" t="s">
        <v>155</v>
      </c>
      <c r="C27" s="61" t="s">
        <v>182</v>
      </c>
      <c r="D27" s="57">
        <f ca="1">VLOOKUP(A27,INDIRECT('LOCCS Import'!$AA$3&amp;"$A$3"):INDIRECT('LOCCS Import'!$AA$3&amp;"$O$54"),7,)</f>
        <v>4.17</v>
      </c>
      <c r="E27" s="57">
        <f ca="1">VLOOKUP(A27,INDIRECT('LOCCS Import'!$Z$3&amp;"$A$3"):INDIRECT('LOCCS Import'!$Z$3&amp;"$O$54"),7,)</f>
        <v>4.1399999999999997</v>
      </c>
      <c r="F27" s="57">
        <f ca="1">VLOOKUP(A27,INDIRECT('LOCCS Import'!$Y$3&amp;"$A$3"):INDIRECT('LOCCS Import'!$Y$3&amp;"$O$54"),7,)</f>
        <v>4.1100000000000003</v>
      </c>
      <c r="G27" s="57">
        <f ca="1">VLOOKUP(A27,INDIRECT('LOCCS Import'!$X$3&amp;"$A$3"):INDIRECT('LOCCS Import'!$X$3&amp;"$O$54"),7,)</f>
        <v>3.88</v>
      </c>
      <c r="H27" s="57">
        <f ca="1">VLOOKUP(A27,INDIRECT('LOCCS Import'!$W$3&amp;"$A$3"):INDIRECT('LOCCS Import'!$W$3&amp;"$O$54"),7,)</f>
        <v>5</v>
      </c>
      <c r="I27" s="57">
        <f ca="1">VLOOKUP(A27,INDIRECT('LOCCS Import'!$V$3&amp;"$A$3"):INDIRECT('LOCCS Import'!$V$3&amp;"$O$54"),7,)</f>
        <v>4.75</v>
      </c>
      <c r="J27" s="57">
        <f ca="1">VLOOKUP(A27,INDIRECT('LOCCS Import'!$U$3&amp;"$A$3"):INDIRECT('LOCCS Import'!$U$3&amp;"$O$54"),7,)</f>
        <v>4.59</v>
      </c>
      <c r="K27" s="57">
        <f ca="1">VLOOKUP(A27,INDIRECT('LOCCS Import'!$T$3&amp;"$A$3"):INDIRECT('LOCCS Import'!$T$3&amp;"$O$54"),7,)</f>
        <v>4.46</v>
      </c>
      <c r="L27" s="57">
        <f ca="1">VLOOKUP(A27,INDIRECT('LOCCS Import'!$S$3&amp;"$A$3"):INDIRECT('LOCCS Import'!$S$3&amp;"$O$54"),7,)</f>
        <v>4.2300000000000004</v>
      </c>
      <c r="M27" s="57">
        <f ca="1">VLOOKUP(A27,INDIRECT('LOCCS Import'!$R$3&amp;"$A$3"):INDIRECT('LOCCS Import'!$R$3&amp;"$O$54"),7,)</f>
        <v>4.16</v>
      </c>
      <c r="N27" s="57">
        <f ca="1">VLOOKUP(A27,INDIRECT('LOCCS Import'!$Q$3&amp;"$A$3"):INDIRECT('LOCCS Import'!$Q$3&amp;"$O$54"),7,)</f>
        <v>4.1100000000000003</v>
      </c>
      <c r="O27" s="57">
        <f ca="1">VLOOKUP(A27,INDIRECT('LOCCS Import'!$P$3&amp;"$A$3"):INDIRECT('LOCCS Import'!$P$3&amp;"$O$54"),7,)</f>
        <v>4.1100000000000003</v>
      </c>
      <c r="P27" s="57">
        <f ca="1">VLOOKUP(A27,INDIRECT('LOCCS Import'!$O$3&amp;"$A$3"):INDIRECT('LOCCS Import'!$O$3&amp;"$O$54"),7,)</f>
        <v>3.93</v>
      </c>
      <c r="Q27" s="57">
        <f ca="1">VLOOKUP(A27,INDIRECT('LOCCS Import'!$N$3&amp;"$A$3"):INDIRECT('LOCCS Import'!$N$3&amp;"$O$54"),7,)</f>
        <v>3.65</v>
      </c>
      <c r="R27" s="57">
        <f ca="1">VLOOKUP(A27,INDIRECT('LOCCS Import'!$M$3&amp;"$A$3"):INDIRECT('LOCCS Import'!$M$3&amp;"$O$54"),7,)</f>
        <v>3.62</v>
      </c>
      <c r="S27" s="57">
        <f ca="1">VLOOKUP(A27,INDIRECT('LOCCS Import'!$L$3&amp;"$A$3"):INDIRECT('LOCCS Import'!$L$3&amp;"$O$54"),7,)</f>
        <v>3.53</v>
      </c>
      <c r="T27" s="57">
        <f ca="1">VLOOKUP(A27,INDIRECT('LOCCS Import'!$K$3&amp;"$A$3"):INDIRECT('LOCCS Import'!$K$3&amp;"$O$54"),7,)</f>
        <v>3.46</v>
      </c>
      <c r="U27" s="57">
        <f ca="1">VLOOKUP(A27,INDIRECT('LOCCS Import'!$J$3&amp;"$A$3"):INDIRECT('LOCCS Import'!$J$3&amp;"$O$54"),7,)</f>
        <v>3.36</v>
      </c>
      <c r="V27" s="57">
        <f ca="1">VLOOKUP(A27,INDIRECT('LOCCS Import'!$I$3&amp;"$A$3"):INDIRECT('LOCCS Import'!$I$3&amp;"$O$54"),7,)</f>
        <v>3.31</v>
      </c>
      <c r="W27" s="57">
        <f ca="1">VLOOKUP(A27,INDIRECT('LOCCS Import'!$H$3&amp;"$A$3"):INDIRECT('LOCCS Import'!$H$3&amp;"$O$54"),7,)</f>
        <v>4.26</v>
      </c>
      <c r="X27" s="57">
        <f ca="1">VLOOKUP(A27,INDIRECT('LOCCS Import'!$G$3&amp;"$A$3"):INDIRECT('LOCCS Import'!$G$3&amp;"$O$54"),7,)</f>
        <v>4.03</v>
      </c>
      <c r="Y27" s="57">
        <f ca="1">VLOOKUP(A27,INDIRECT('LOCCS Import'!$F$3&amp;"$A$3"):INDIRECT('LOCCS Import'!$F$3&amp;"$O$54"),7,)</f>
        <v>3.88</v>
      </c>
      <c r="Z27" s="57">
        <f ca="1">VLOOKUP(A27,INDIRECT('LOCCS Import'!$E$3&amp;"$A$3"):INDIRECT('LOCCS Import'!$E$3&amp;"$O$54"),7,)</f>
        <v>3.81</v>
      </c>
      <c r="AA27" s="57">
        <f>VLOOKUP(A27,template!$A$3:$P$54,7,)</f>
        <v>3.74</v>
      </c>
      <c r="AB27" s="55">
        <f t="shared" ca="1" si="0"/>
        <v>4.26</v>
      </c>
      <c r="AC27" s="57">
        <f t="shared" ca="1" si="1"/>
        <v>3.31</v>
      </c>
      <c r="AD27" s="58">
        <f t="shared" ca="1" si="2"/>
        <v>3.7150000000000003</v>
      </c>
      <c r="AE27" s="80">
        <f t="shared" ca="1" si="3"/>
        <v>35</v>
      </c>
      <c r="AF27" s="127"/>
      <c r="AG27" s="3">
        <f ca="1">VLOOKUP(A27,INDIRECT('LOCCS Import'!$AA$3&amp;"$A$3"):INDIRECT('LOCCS Import'!$AA$3&amp;"$O$54"),8,)</f>
        <v>0.77</v>
      </c>
      <c r="AH27" s="1">
        <f ca="1">VLOOKUP(A27,INDIRECT('LOCCS Import'!$Z$3&amp;"$A$3"):INDIRECT('LOCCS Import'!$Z$3&amp;"$O$54"),8,)</f>
        <v>0.78</v>
      </c>
      <c r="AI27" s="1">
        <f ca="1">VLOOKUP(A27,INDIRECT('LOCCS Import'!$Y$3&amp;"$A$3"):INDIRECT('LOCCS Import'!$Y$3&amp;"$O$54"),8,)</f>
        <v>0.76</v>
      </c>
      <c r="AJ27" s="1">
        <f ca="1">VLOOKUP(A27,INDIRECT('LOCCS Import'!$X$3&amp;"$A$3"):INDIRECT('LOCCS Import'!$X$3&amp;"$O$54"),8,)</f>
        <v>0.94</v>
      </c>
      <c r="AK27" s="1">
        <f ca="1">VLOOKUP(A27,INDIRECT('LOCCS Import'!$W$3&amp;"$A$3"):INDIRECT('LOCCS Import'!$W$3&amp;"$O$54"),8,)</f>
        <v>0.99</v>
      </c>
      <c r="AL27" s="1">
        <f ca="1">VLOOKUP(A27,INDIRECT('LOCCS Import'!$V$3&amp;"$A$3"):INDIRECT('LOCCS Import'!$V$3&amp;"$O$54"),8,)</f>
        <v>1.1399999999999999</v>
      </c>
      <c r="AM27" s="1">
        <f ca="1">VLOOKUP(A27,INDIRECT('LOCCS Import'!$U$3&amp;"$A$3"):INDIRECT('LOCCS Import'!$U$3&amp;"$O$54"),8,)</f>
        <v>1.24</v>
      </c>
      <c r="AN27" s="1">
        <f ca="1">VLOOKUP(A27,INDIRECT('LOCCS Import'!$T$3&amp;"$A$3"):INDIRECT('LOCCS Import'!$T$3&amp;"$O$54"),8,)</f>
        <v>1.17</v>
      </c>
      <c r="AO27" s="1">
        <f ca="1">VLOOKUP(A27,INDIRECT('LOCCS Import'!$S$3&amp;"$A$3"):INDIRECT('LOCCS Import'!$S$3&amp;"$O$54"),8,)</f>
        <v>1.36</v>
      </c>
      <c r="AP27" s="1">
        <f ca="1">VLOOKUP(A27,INDIRECT('LOCCS Import'!$R$3&amp;"$A$3"):INDIRECT('LOCCS Import'!$R$3&amp;"$O$54"),8,)</f>
        <v>1.36</v>
      </c>
      <c r="AQ27" s="1">
        <f ca="1">VLOOKUP(A27,INDIRECT('LOCCS Import'!$Q$3&amp;"$A$3"):INDIRECT('LOCCS Import'!$Q$3&amp;"$O$54"),8,)</f>
        <v>1.38</v>
      </c>
      <c r="AR27" s="1">
        <f ca="1">VLOOKUP(A27,INDIRECT('LOCCS Import'!$P$3&amp;"$A$3"):INDIRECT('LOCCS Import'!$P$3&amp;"$O$54"),8,)</f>
        <v>1.38</v>
      </c>
      <c r="AS27" s="1">
        <f ca="1">VLOOKUP(A27,INDIRECT('LOCCS Import'!$O$3&amp;"$A$3"):INDIRECT('LOCCS Import'!$O$3&amp;"$O$54"),8,)</f>
        <v>1.52</v>
      </c>
      <c r="AT27" s="1">
        <f ca="1">VLOOKUP(A27,INDIRECT('LOCCS Import'!$N$3&amp;"$A$3"):INDIRECT('LOCCS Import'!$N$3&amp;"$O$54"),8,)</f>
        <v>1.77</v>
      </c>
      <c r="AU27" s="1">
        <f ca="1">VLOOKUP(A27,INDIRECT('LOCCS Import'!$M$3&amp;"$A$3"):INDIRECT('LOCCS Import'!$M$3&amp;"$O$54"),8,)</f>
        <v>1.77</v>
      </c>
      <c r="AV27" s="1">
        <f ca="1">VLOOKUP(A27,INDIRECT('LOCCS Import'!$L$3&amp;"$A$3"):INDIRECT('LOCCS Import'!$L$3&amp;"$O$54"),8,)</f>
        <v>1.53</v>
      </c>
      <c r="AW27" s="1">
        <f ca="1">VLOOKUP(A27,INDIRECT('LOCCS Import'!$K$3&amp;"$A$3"):INDIRECT('LOCCS Import'!$K$3&amp;"$O$54"),8,)</f>
        <v>1.54</v>
      </c>
      <c r="AX27" s="1">
        <f ca="1">VLOOKUP(A27,INDIRECT('LOCCS Import'!$J$3&amp;"$A$3"):INDIRECT('LOCCS Import'!$J$3&amp;"$O$54"),8,)</f>
        <v>1.4</v>
      </c>
      <c r="AY27" s="1">
        <f ca="1">VLOOKUP(A27,INDIRECT('LOCCS Import'!$I$3&amp;"$A$3"):INDIRECT('LOCCS Import'!$I$3&amp;"$O$54"),8,)</f>
        <v>1.28</v>
      </c>
      <c r="AZ27" s="1">
        <f ca="1">VLOOKUP(A27,INDIRECT('LOCCS Import'!$H$3&amp;"$A$3"):INDIRECT('LOCCS Import'!$H$3&amp;"$O$54"),8,)</f>
        <v>1.1599999999999999</v>
      </c>
      <c r="BA27" s="1">
        <f ca="1">VLOOKUP(A27,INDIRECT('LOCCS Import'!$G$3&amp;"$A$3"):INDIRECT('LOCCS Import'!$G$3&amp;"$O$54"),8,)</f>
        <v>1.18</v>
      </c>
      <c r="BB27" s="1">
        <f ca="1">VLOOKUP(A27,INDIRECT('LOCCS Import'!$F$3&amp;"$A$3"):INDIRECT('LOCCS Import'!$F$3&amp;"$O$54"),8,)</f>
        <v>1.26</v>
      </c>
      <c r="BC27" s="1">
        <f ca="1">VLOOKUP(A27,INDIRECT('LOCCS Import'!$E$3&amp;"$A$3"):INDIRECT('LOCCS Import'!$E$3&amp;"$O$54"),8,)</f>
        <v>1.28</v>
      </c>
      <c r="BD27" s="2">
        <f>VLOOKUP(A27,template!$A$3:$P$54,8,)</f>
        <v>1.25</v>
      </c>
      <c r="BE27" s="2">
        <f t="shared" ca="1" si="4"/>
        <v>1.4116666666666664</v>
      </c>
      <c r="BF27" s="109">
        <f t="shared" ca="1" si="5"/>
        <v>4</v>
      </c>
    </row>
    <row r="28" spans="1:58" x14ac:dyDescent="0.3">
      <c r="A28" s="64" t="s">
        <v>39</v>
      </c>
      <c r="B28" s="61" t="s">
        <v>157</v>
      </c>
      <c r="C28" s="61" t="s">
        <v>183</v>
      </c>
      <c r="D28" s="57">
        <f ca="1">VLOOKUP(A28,INDIRECT('LOCCS Import'!$AA$3&amp;"$A$3"):INDIRECT('LOCCS Import'!$AA$3&amp;"$O$54"),7,)</f>
        <v>3.17</v>
      </c>
      <c r="E28" s="57">
        <f ca="1">VLOOKUP(A28,INDIRECT('LOCCS Import'!$Z$3&amp;"$A$3"):INDIRECT('LOCCS Import'!$Z$3&amp;"$O$54"),7,)</f>
        <v>3.12</v>
      </c>
      <c r="F28" s="57">
        <f ca="1">VLOOKUP(A28,INDIRECT('LOCCS Import'!$Y$3&amp;"$A$3"):INDIRECT('LOCCS Import'!$Y$3&amp;"$O$54"),7,)</f>
        <v>3.06</v>
      </c>
      <c r="G28" s="57">
        <f ca="1">VLOOKUP(A28,INDIRECT('LOCCS Import'!$X$3&amp;"$A$3"):INDIRECT('LOCCS Import'!$X$3&amp;"$O$54"),7,)</f>
        <v>2.99</v>
      </c>
      <c r="H28" s="57">
        <f ca="1">VLOOKUP(A28,INDIRECT('LOCCS Import'!$W$3&amp;"$A$3"):INDIRECT('LOCCS Import'!$W$3&amp;"$O$54"),7,)</f>
        <v>3.94</v>
      </c>
      <c r="I28" s="57">
        <f ca="1">VLOOKUP(A28,INDIRECT('LOCCS Import'!$V$3&amp;"$A$3"):INDIRECT('LOCCS Import'!$V$3&amp;"$O$54"),7,)</f>
        <v>3.86</v>
      </c>
      <c r="J28" s="57">
        <f ca="1">VLOOKUP(A28,INDIRECT('LOCCS Import'!$U$3&amp;"$A$3"):INDIRECT('LOCCS Import'!$U$3&amp;"$O$54"),7,)</f>
        <v>3.85</v>
      </c>
      <c r="K28" s="57">
        <f ca="1">VLOOKUP(A28,INDIRECT('LOCCS Import'!$T$3&amp;"$A$3"):INDIRECT('LOCCS Import'!$T$3&amp;"$O$54"),7,)</f>
        <v>3.82</v>
      </c>
      <c r="L28" s="57">
        <f ca="1">VLOOKUP(A28,INDIRECT('LOCCS Import'!$S$3&amp;"$A$3"):INDIRECT('LOCCS Import'!$S$3&amp;"$O$54"),7,)</f>
        <v>3.79</v>
      </c>
      <c r="M28" s="57">
        <f ca="1">VLOOKUP(A28,INDIRECT('LOCCS Import'!$R$3&amp;"$A$3"):INDIRECT('LOCCS Import'!$R$3&amp;"$O$54"),7,)</f>
        <v>3.76</v>
      </c>
      <c r="N28" s="57">
        <f ca="1">VLOOKUP(A28,INDIRECT('LOCCS Import'!$Q$3&amp;"$A$3"):INDIRECT('LOCCS Import'!$Q$3&amp;"$O$54"),7,)</f>
        <v>3.74</v>
      </c>
      <c r="O28" s="57">
        <f ca="1">VLOOKUP(A28,INDIRECT('LOCCS Import'!$P$3&amp;"$A$3"):INDIRECT('LOCCS Import'!$P$3&amp;"$O$54"),7,)</f>
        <v>3.74</v>
      </c>
      <c r="P28" s="57">
        <f ca="1">VLOOKUP(A28,INDIRECT('LOCCS Import'!$O$3&amp;"$A$3"):INDIRECT('LOCCS Import'!$O$3&amp;"$O$54"),7,)</f>
        <v>3.66</v>
      </c>
      <c r="Q28" s="57">
        <f ca="1">VLOOKUP(A28,INDIRECT('LOCCS Import'!$N$3&amp;"$A$3"):INDIRECT('LOCCS Import'!$N$3&amp;"$O$54"),7,)</f>
        <v>3.63</v>
      </c>
      <c r="R28" s="57">
        <f ca="1">VLOOKUP(A28,INDIRECT('LOCCS Import'!$M$3&amp;"$A$3"):INDIRECT('LOCCS Import'!$M$3&amp;"$O$54"),7,)</f>
        <v>3.57</v>
      </c>
      <c r="S28" s="57">
        <f ca="1">VLOOKUP(A28,INDIRECT('LOCCS Import'!$L$3&amp;"$A$3"):INDIRECT('LOCCS Import'!$L$3&amp;"$O$54"),7,)</f>
        <v>3.51</v>
      </c>
      <c r="T28" s="57">
        <f ca="1">VLOOKUP(A28,INDIRECT('LOCCS Import'!$K$3&amp;"$A$3"):INDIRECT('LOCCS Import'!$K$3&amp;"$O$54"),7,)</f>
        <v>4.45</v>
      </c>
      <c r="U28" s="57">
        <f ca="1">VLOOKUP(A28,INDIRECT('LOCCS Import'!$J$3&amp;"$A$3"):INDIRECT('LOCCS Import'!$J$3&amp;"$O$54"),7,)</f>
        <v>4.43</v>
      </c>
      <c r="V28" s="57">
        <f ca="1">VLOOKUP(A28,INDIRECT('LOCCS Import'!$I$3&amp;"$A$3"):INDIRECT('LOCCS Import'!$I$3&amp;"$O$54"),7,)</f>
        <v>4.38</v>
      </c>
      <c r="W28" s="57">
        <f ca="1">VLOOKUP(A28,INDIRECT('LOCCS Import'!$H$3&amp;"$A$3"):INDIRECT('LOCCS Import'!$H$3&amp;"$O$54"),7,)</f>
        <v>4.28</v>
      </c>
      <c r="X28" s="57">
        <f ca="1">VLOOKUP(A28,INDIRECT('LOCCS Import'!$G$3&amp;"$A$3"):INDIRECT('LOCCS Import'!$G$3&amp;"$O$54"),7,)</f>
        <v>4.24</v>
      </c>
      <c r="Y28" s="57">
        <f ca="1">VLOOKUP(A28,INDIRECT('LOCCS Import'!$F$3&amp;"$A$3"):INDIRECT('LOCCS Import'!$F$3&amp;"$O$54"),7,)</f>
        <v>4.1399999999999997</v>
      </c>
      <c r="Z28" s="57">
        <f ca="1">VLOOKUP(A28,INDIRECT('LOCCS Import'!$E$3&amp;"$A$3"):INDIRECT('LOCCS Import'!$E$3&amp;"$O$54"),7,)</f>
        <v>4.09</v>
      </c>
      <c r="AA28" s="57">
        <f>VLOOKUP(A28,template!$A$3:$P$54,7,)</f>
        <v>4.05</v>
      </c>
      <c r="AB28" s="55">
        <f t="shared" ca="1" si="0"/>
        <v>4.45</v>
      </c>
      <c r="AC28" s="57">
        <f t="shared" ca="1" si="1"/>
        <v>3.51</v>
      </c>
      <c r="AD28" s="58">
        <f t="shared" ca="1" si="2"/>
        <v>4.0358333333333327</v>
      </c>
      <c r="AE28" s="80">
        <f t="shared" ca="1" si="3"/>
        <v>40</v>
      </c>
      <c r="AF28" s="127"/>
      <c r="AG28" s="3">
        <f ca="1">VLOOKUP(A28,INDIRECT('LOCCS Import'!$AA$3&amp;"$A$3"):INDIRECT('LOCCS Import'!$AA$3&amp;"$O$54"),8,)</f>
        <v>1.03</v>
      </c>
      <c r="AH28" s="1">
        <f ca="1">VLOOKUP(A28,INDIRECT('LOCCS Import'!$Z$3&amp;"$A$3"):INDIRECT('LOCCS Import'!$Z$3&amp;"$O$54"),8,)</f>
        <v>0.99</v>
      </c>
      <c r="AI28" s="1">
        <f ca="1">VLOOKUP(A28,INDIRECT('LOCCS Import'!$Y$3&amp;"$A$3"):INDIRECT('LOCCS Import'!$Y$3&amp;"$O$54"),8,)</f>
        <v>1.01</v>
      </c>
      <c r="AJ28" s="1">
        <f ca="1">VLOOKUP(A28,INDIRECT('LOCCS Import'!$X$3&amp;"$A$3"):INDIRECT('LOCCS Import'!$X$3&amp;"$O$54"),8,)</f>
        <v>1.01</v>
      </c>
      <c r="AK28" s="1">
        <f ca="1">VLOOKUP(A28,INDIRECT('LOCCS Import'!$W$3&amp;"$A$3"):INDIRECT('LOCCS Import'!$W$3&amp;"$O$54"),8,)</f>
        <v>0.99</v>
      </c>
      <c r="AL28" s="1">
        <f ca="1">VLOOKUP(A28,INDIRECT('LOCCS Import'!$V$3&amp;"$A$3"):INDIRECT('LOCCS Import'!$V$3&amp;"$O$54"),8,)</f>
        <v>0.93</v>
      </c>
      <c r="AM28" s="1">
        <f ca="1">VLOOKUP(A28,INDIRECT('LOCCS Import'!$U$3&amp;"$A$3"):INDIRECT('LOCCS Import'!$U$3&amp;"$O$54"),8,)</f>
        <v>0.86</v>
      </c>
      <c r="AN28" s="1">
        <f ca="1">VLOOKUP(A28,INDIRECT('LOCCS Import'!$T$3&amp;"$A$3"):INDIRECT('LOCCS Import'!$T$3&amp;"$O$54"),8,)</f>
        <v>0.73</v>
      </c>
      <c r="AO28" s="1">
        <f ca="1">VLOOKUP(A28,INDIRECT('LOCCS Import'!$S$3&amp;"$A$3"):INDIRECT('LOCCS Import'!$S$3&amp;"$O$54"),8,)</f>
        <v>0.66</v>
      </c>
      <c r="AP28" s="1">
        <f ca="1">VLOOKUP(A28,INDIRECT('LOCCS Import'!$R$3&amp;"$A$3"):INDIRECT('LOCCS Import'!$R$3&amp;"$O$54"),8,)</f>
        <v>0.61</v>
      </c>
      <c r="AQ28" s="1">
        <f ca="1">VLOOKUP(A28,INDIRECT('LOCCS Import'!$Q$3&amp;"$A$3"):INDIRECT('LOCCS Import'!$Q$3&amp;"$O$54"),8,)</f>
        <v>0.56999999999999995</v>
      </c>
      <c r="AR28" s="1">
        <f ca="1">VLOOKUP(A28,INDIRECT('LOCCS Import'!$P$3&amp;"$A$3"):INDIRECT('LOCCS Import'!$P$3&amp;"$O$54"),8,)</f>
        <v>0.56999999999999995</v>
      </c>
      <c r="AS28" s="1">
        <f ca="1">VLOOKUP(A28,INDIRECT('LOCCS Import'!$O$3&amp;"$A$3"):INDIRECT('LOCCS Import'!$O$3&amp;"$O$54"),8,)</f>
        <v>0.55000000000000004</v>
      </c>
      <c r="AT28" s="1">
        <f ca="1">VLOOKUP(A28,INDIRECT('LOCCS Import'!$N$3&amp;"$A$3"):INDIRECT('LOCCS Import'!$N$3&amp;"$O$54"),8,)</f>
        <v>0.52</v>
      </c>
      <c r="AU28" s="1">
        <f ca="1">VLOOKUP(A28,INDIRECT('LOCCS Import'!$M$3&amp;"$A$3"):INDIRECT('LOCCS Import'!$M$3&amp;"$O$54"),8,)</f>
        <v>0.52</v>
      </c>
      <c r="AV28" s="1">
        <f ca="1">VLOOKUP(A28,INDIRECT('LOCCS Import'!$L$3&amp;"$A$3"):INDIRECT('LOCCS Import'!$L$3&amp;"$O$54"),8,)</f>
        <v>0.51</v>
      </c>
      <c r="AW28" s="1">
        <f ca="1">VLOOKUP(A28,INDIRECT('LOCCS Import'!$K$3&amp;"$A$3"):INDIRECT('LOCCS Import'!$K$3&amp;"$O$54"),8,)</f>
        <v>0.48</v>
      </c>
      <c r="AX28" s="1">
        <f ca="1">VLOOKUP(A28,INDIRECT('LOCCS Import'!$J$3&amp;"$A$3"):INDIRECT('LOCCS Import'!$J$3&amp;"$O$54"),8,)</f>
        <v>0.42</v>
      </c>
      <c r="AY28" s="1">
        <f ca="1">VLOOKUP(A28,INDIRECT('LOCCS Import'!$I$3&amp;"$A$3"):INDIRECT('LOCCS Import'!$I$3&amp;"$O$54"),8,)</f>
        <v>0.45</v>
      </c>
      <c r="AZ28" s="1">
        <f ca="1">VLOOKUP(A28,INDIRECT('LOCCS Import'!$H$3&amp;"$A$3"):INDIRECT('LOCCS Import'!$H$3&amp;"$O$54"),8,)</f>
        <v>0.51</v>
      </c>
      <c r="BA28" s="1">
        <f ca="1">VLOOKUP(A28,INDIRECT('LOCCS Import'!$G$3&amp;"$A$3"):INDIRECT('LOCCS Import'!$G$3&amp;"$O$54"),8,)</f>
        <v>0.53</v>
      </c>
      <c r="BB28" s="1">
        <f ca="1">VLOOKUP(A28,INDIRECT('LOCCS Import'!$F$3&amp;"$A$3"):INDIRECT('LOCCS Import'!$F$3&amp;"$O$54"),8,)</f>
        <v>0.6</v>
      </c>
      <c r="BC28" s="1">
        <f ca="1">VLOOKUP(A28,INDIRECT('LOCCS Import'!$E$3&amp;"$A$3"):INDIRECT('LOCCS Import'!$E$3&amp;"$O$54"),8,)</f>
        <v>0.63</v>
      </c>
      <c r="BD28" s="2">
        <f>VLOOKUP(A28,template!$A$3:$P$54,8,)</f>
        <v>0.64</v>
      </c>
      <c r="BE28" s="2">
        <f t="shared" ca="1" si="4"/>
        <v>0.52999999999999992</v>
      </c>
      <c r="BF28" s="109">
        <f t="shared" ca="1" si="5"/>
        <v>50</v>
      </c>
    </row>
    <row r="29" spans="1:58" x14ac:dyDescent="0.3">
      <c r="A29" s="64" t="s">
        <v>57</v>
      </c>
      <c r="B29" s="61" t="s">
        <v>157</v>
      </c>
      <c r="C29" s="61" t="s">
        <v>184</v>
      </c>
      <c r="D29" s="57">
        <f ca="1">VLOOKUP(A29,INDIRECT('LOCCS Import'!$AA$3&amp;"$A$3"):INDIRECT('LOCCS Import'!$AA$3&amp;"$O$54"),7,)</f>
        <v>2.34</v>
      </c>
      <c r="E29" s="57">
        <f ca="1">VLOOKUP(A29,INDIRECT('LOCCS Import'!$Z$3&amp;"$A$3"):INDIRECT('LOCCS Import'!$Z$3&amp;"$O$54"),7,)</f>
        <v>2.12</v>
      </c>
      <c r="F29" s="57">
        <f ca="1">VLOOKUP(A29,INDIRECT('LOCCS Import'!$Y$3&amp;"$A$3"):INDIRECT('LOCCS Import'!$Y$3&amp;"$O$54"),7,)</f>
        <v>2.11</v>
      </c>
      <c r="G29" s="57">
        <f ca="1">VLOOKUP(A29,INDIRECT('LOCCS Import'!$X$3&amp;"$A$3"):INDIRECT('LOCCS Import'!$X$3&amp;"$O$54"),7,)</f>
        <v>2.0699999999999998</v>
      </c>
      <c r="H29" s="57">
        <f ca="1">VLOOKUP(A29,INDIRECT('LOCCS Import'!$W$3&amp;"$A$3"):INDIRECT('LOCCS Import'!$W$3&amp;"$O$54"),7,)</f>
        <v>2.0699999999999998</v>
      </c>
      <c r="I29" s="57">
        <f ca="1">VLOOKUP(A29,INDIRECT('LOCCS Import'!$V$3&amp;"$A$3"):INDIRECT('LOCCS Import'!$V$3&amp;"$O$54"),7,)</f>
        <v>1.57</v>
      </c>
      <c r="J29" s="57">
        <f ca="1">VLOOKUP(A29,INDIRECT('LOCCS Import'!$U$3&amp;"$A$3"):INDIRECT('LOCCS Import'!$U$3&amp;"$O$54"),7,)</f>
        <v>2.56</v>
      </c>
      <c r="K29" s="57">
        <f ca="1">VLOOKUP(A29,INDIRECT('LOCCS Import'!$T$3&amp;"$A$3"):INDIRECT('LOCCS Import'!$T$3&amp;"$O$54"),7,)</f>
        <v>2.4500000000000002</v>
      </c>
      <c r="L29" s="57">
        <f ca="1">VLOOKUP(A29,INDIRECT('LOCCS Import'!$S$3&amp;"$A$3"):INDIRECT('LOCCS Import'!$S$3&amp;"$O$54"),7,)</f>
        <v>2.2000000000000002</v>
      </c>
      <c r="M29" s="57">
        <f ca="1">VLOOKUP(A29,INDIRECT('LOCCS Import'!$R$3&amp;"$A$3"):INDIRECT('LOCCS Import'!$R$3&amp;"$O$54"),7,)</f>
        <v>2.14</v>
      </c>
      <c r="N29" s="57">
        <f ca="1">VLOOKUP(A29,INDIRECT('LOCCS Import'!$Q$3&amp;"$A$3"):INDIRECT('LOCCS Import'!$Q$3&amp;"$O$54"),7,)</f>
        <v>2.1</v>
      </c>
      <c r="O29" s="57">
        <f ca="1">VLOOKUP(A29,INDIRECT('LOCCS Import'!$P$3&amp;"$A$3"):INDIRECT('LOCCS Import'!$P$3&amp;"$O$54"),7,)</f>
        <v>2.1</v>
      </c>
      <c r="P29" s="57">
        <f ca="1">VLOOKUP(A29,INDIRECT('LOCCS Import'!$O$3&amp;"$A$3"):INDIRECT('LOCCS Import'!$O$3&amp;"$O$54"),7,)</f>
        <v>2.09</v>
      </c>
      <c r="Q29" s="57">
        <f ca="1">VLOOKUP(A29,INDIRECT('LOCCS Import'!$N$3&amp;"$A$3"):INDIRECT('LOCCS Import'!$N$3&amp;"$O$54"),7,)</f>
        <v>2.0099999999999998</v>
      </c>
      <c r="R29" s="57">
        <f ca="1">VLOOKUP(A29,INDIRECT('LOCCS Import'!$M$3&amp;"$A$3"):INDIRECT('LOCCS Import'!$M$3&amp;"$O$54"),7,)</f>
        <v>1.92</v>
      </c>
      <c r="S29" s="57">
        <f ca="1">VLOOKUP(A29,INDIRECT('LOCCS Import'!$L$3&amp;"$A$3"):INDIRECT('LOCCS Import'!$L$3&amp;"$O$54"),7,)</f>
        <v>1.91</v>
      </c>
      <c r="T29" s="57">
        <f ca="1">VLOOKUP(A29,INDIRECT('LOCCS Import'!$K$3&amp;"$A$3"):INDIRECT('LOCCS Import'!$K$3&amp;"$O$54"),7,)</f>
        <v>2.9</v>
      </c>
      <c r="U29" s="57">
        <f ca="1">VLOOKUP(A29,INDIRECT('LOCCS Import'!$J$3&amp;"$A$3"):INDIRECT('LOCCS Import'!$J$3&amp;"$O$54"),7,)</f>
        <v>2.8</v>
      </c>
      <c r="V29" s="57">
        <f ca="1">VLOOKUP(A29,INDIRECT('LOCCS Import'!$I$3&amp;"$A$3"):INDIRECT('LOCCS Import'!$I$3&amp;"$O$54"),7,)</f>
        <v>2.5299999999999998</v>
      </c>
      <c r="W29" s="57">
        <f ca="1">VLOOKUP(A29,INDIRECT('LOCCS Import'!$H$3&amp;"$A$3"):INDIRECT('LOCCS Import'!$H$3&amp;"$O$54"),7,)</f>
        <v>2.2200000000000002</v>
      </c>
      <c r="X29" s="57">
        <f ca="1">VLOOKUP(A29,INDIRECT('LOCCS Import'!$G$3&amp;"$A$3"):INDIRECT('LOCCS Import'!$G$3&amp;"$O$54"),7,)</f>
        <v>2.21</v>
      </c>
      <c r="Y29" s="57">
        <f ca="1">VLOOKUP(A29,INDIRECT('LOCCS Import'!$F$3&amp;"$A$3"):INDIRECT('LOCCS Import'!$F$3&amp;"$O$54"),7,)</f>
        <v>2.09</v>
      </c>
      <c r="Z29" s="57">
        <f ca="1">VLOOKUP(A29,INDIRECT('LOCCS Import'!$E$3&amp;"$A$3"):INDIRECT('LOCCS Import'!$E$3&amp;"$O$54"),7,)</f>
        <v>1.89</v>
      </c>
      <c r="AA29" s="57">
        <f>VLOOKUP(A29,template!$A$3:$P$54,7,)</f>
        <v>1.89</v>
      </c>
      <c r="AB29" s="55">
        <f t="shared" ca="1" si="0"/>
        <v>2.9</v>
      </c>
      <c r="AC29" s="57">
        <f t="shared" ca="1" si="1"/>
        <v>1.89</v>
      </c>
      <c r="AD29" s="58">
        <f t="shared" ca="1" si="2"/>
        <v>2.2050000000000001</v>
      </c>
      <c r="AE29" s="80">
        <f t="shared" ca="1" si="3"/>
        <v>9</v>
      </c>
      <c r="AF29" s="127"/>
      <c r="AG29" s="3">
        <f ca="1">VLOOKUP(A29,INDIRECT('LOCCS Import'!$AA$3&amp;"$A$3"):INDIRECT('LOCCS Import'!$AA$3&amp;"$O$54"),8,)</f>
        <v>1.85</v>
      </c>
      <c r="AH29" s="1">
        <f ca="1">VLOOKUP(A29,INDIRECT('LOCCS Import'!$Z$3&amp;"$A$3"):INDIRECT('LOCCS Import'!$Z$3&amp;"$O$54"),8,)</f>
        <v>2</v>
      </c>
      <c r="AI29" s="1">
        <f ca="1">VLOOKUP(A29,INDIRECT('LOCCS Import'!$Y$3&amp;"$A$3"):INDIRECT('LOCCS Import'!$Y$3&amp;"$O$54"),8,)</f>
        <v>1.96</v>
      </c>
      <c r="AJ29" s="1">
        <f ca="1">VLOOKUP(A29,INDIRECT('LOCCS Import'!$X$3&amp;"$A$3"):INDIRECT('LOCCS Import'!$X$3&amp;"$O$54"),8,)</f>
        <v>2.0099999999999998</v>
      </c>
      <c r="AK29" s="1">
        <f ca="1">VLOOKUP(A29,INDIRECT('LOCCS Import'!$W$3&amp;"$A$3"):INDIRECT('LOCCS Import'!$W$3&amp;"$O$54"),8,)</f>
        <v>1.58</v>
      </c>
      <c r="AL29" s="1">
        <f ca="1">VLOOKUP(A29,INDIRECT('LOCCS Import'!$V$3&amp;"$A$3"):INDIRECT('LOCCS Import'!$V$3&amp;"$O$54"),8,)</f>
        <v>1.54</v>
      </c>
      <c r="AM29" s="1">
        <f ca="1">VLOOKUP(A29,INDIRECT('LOCCS Import'!$U$3&amp;"$A$3"):INDIRECT('LOCCS Import'!$U$3&amp;"$O$54"),8,)</f>
        <v>1.73</v>
      </c>
      <c r="AN29" s="1">
        <f ca="1">VLOOKUP(A29,INDIRECT('LOCCS Import'!$T$3&amp;"$A$3"):INDIRECT('LOCCS Import'!$T$3&amp;"$O$54"),8,)</f>
        <v>1.53</v>
      </c>
      <c r="AO29" s="1">
        <f ca="1">VLOOKUP(A29,INDIRECT('LOCCS Import'!$S$3&amp;"$A$3"):INDIRECT('LOCCS Import'!$S$3&amp;"$O$54"),8,)</f>
        <v>1.72</v>
      </c>
      <c r="AP29" s="1">
        <f ca="1">VLOOKUP(A29,INDIRECT('LOCCS Import'!$R$3&amp;"$A$3"):INDIRECT('LOCCS Import'!$R$3&amp;"$O$54"),8,)</f>
        <v>1.67</v>
      </c>
      <c r="AQ29" s="1">
        <f ca="1">VLOOKUP(A29,INDIRECT('LOCCS Import'!$Q$3&amp;"$A$3"):INDIRECT('LOCCS Import'!$Q$3&amp;"$O$54"),8,)</f>
        <v>1.69</v>
      </c>
      <c r="AR29" s="1">
        <f ca="1">VLOOKUP(A29,INDIRECT('LOCCS Import'!$P$3&amp;"$A$3"):INDIRECT('LOCCS Import'!$P$3&amp;"$O$54"),8,)</f>
        <v>1.69</v>
      </c>
      <c r="AS29" s="1">
        <f ca="1">VLOOKUP(A29,INDIRECT('LOCCS Import'!$O$3&amp;"$A$3"):INDIRECT('LOCCS Import'!$O$3&amp;"$O$54"),8,)</f>
        <v>1.25</v>
      </c>
      <c r="AT29" s="1">
        <f ca="1">VLOOKUP(A29,INDIRECT('LOCCS Import'!$N$3&amp;"$A$3"):INDIRECT('LOCCS Import'!$N$3&amp;"$O$54"),8,)</f>
        <v>1.1000000000000001</v>
      </c>
      <c r="AU29" s="1">
        <f ca="1">VLOOKUP(A29,INDIRECT('LOCCS Import'!$M$3&amp;"$A$3"):INDIRECT('LOCCS Import'!$M$3&amp;"$O$54"),8,)</f>
        <v>1.19</v>
      </c>
      <c r="AV29" s="1">
        <f ca="1">VLOOKUP(A29,INDIRECT('LOCCS Import'!$L$3&amp;"$A$3"):INDIRECT('LOCCS Import'!$L$3&amp;"$O$54"),8,)</f>
        <v>1.1599999999999999</v>
      </c>
      <c r="AW29" s="1">
        <f ca="1">VLOOKUP(A29,INDIRECT('LOCCS Import'!$K$3&amp;"$A$3"):INDIRECT('LOCCS Import'!$K$3&amp;"$O$54"),8,)</f>
        <v>1.1499999999999999</v>
      </c>
      <c r="AX29" s="1">
        <f ca="1">VLOOKUP(A29,INDIRECT('LOCCS Import'!$J$3&amp;"$A$3"):INDIRECT('LOCCS Import'!$J$3&amp;"$O$54"),8,)</f>
        <v>0.76</v>
      </c>
      <c r="AY29" s="1">
        <f ca="1">VLOOKUP(A29,INDIRECT('LOCCS Import'!$I$3&amp;"$A$3"):INDIRECT('LOCCS Import'!$I$3&amp;"$O$54"),8,)</f>
        <v>1.03</v>
      </c>
      <c r="AZ29" s="1">
        <f ca="1">VLOOKUP(A29,INDIRECT('LOCCS Import'!$H$3&amp;"$A$3"):INDIRECT('LOCCS Import'!$H$3&amp;"$O$54"),8,)</f>
        <v>1.22</v>
      </c>
      <c r="BA29" s="1">
        <f ca="1">VLOOKUP(A29,INDIRECT('LOCCS Import'!$G$3&amp;"$A$3"):INDIRECT('LOCCS Import'!$G$3&amp;"$O$54"),8,)</f>
        <v>0.98</v>
      </c>
      <c r="BB29" s="1">
        <f ca="1">VLOOKUP(A29,INDIRECT('LOCCS Import'!$F$3&amp;"$A$3"):INDIRECT('LOCCS Import'!$F$3&amp;"$O$54"),8,)</f>
        <v>1.03</v>
      </c>
      <c r="BC29" s="1">
        <f ca="1">VLOOKUP(A29,INDIRECT('LOCCS Import'!$E$3&amp;"$A$3"):INDIRECT('LOCCS Import'!$E$3&amp;"$O$54"),8,)</f>
        <v>1.2</v>
      </c>
      <c r="BD29" s="2">
        <f>VLOOKUP(A29,template!$A$3:$P$54,8,)</f>
        <v>1.2</v>
      </c>
      <c r="BE29" s="2">
        <f t="shared" ca="1" si="4"/>
        <v>1.1058333333333332</v>
      </c>
      <c r="BF29" s="109">
        <f t="shared" ca="1" si="5"/>
        <v>14</v>
      </c>
    </row>
    <row r="30" spans="1:58" x14ac:dyDescent="0.3">
      <c r="A30" s="64" t="s">
        <v>64</v>
      </c>
      <c r="B30" s="61" t="s">
        <v>167</v>
      </c>
      <c r="C30" s="61" t="s">
        <v>185</v>
      </c>
      <c r="D30" s="57">
        <f ca="1">VLOOKUP(A30,INDIRECT('LOCCS Import'!$AA$3&amp;"$A$3"):INDIRECT('LOCCS Import'!$AA$3&amp;"$O$54"),7,)</f>
        <v>2.0499999999999998</v>
      </c>
      <c r="E30" s="57">
        <f ca="1">VLOOKUP(A30,INDIRECT('LOCCS Import'!$Z$3&amp;"$A$3"):INDIRECT('LOCCS Import'!$Z$3&amp;"$O$54"),7,)</f>
        <v>2.04</v>
      </c>
      <c r="F30" s="57">
        <f ca="1">VLOOKUP(A30,INDIRECT('LOCCS Import'!$Y$3&amp;"$A$3"):INDIRECT('LOCCS Import'!$Y$3&amp;"$O$54"),7,)</f>
        <v>2.02</v>
      </c>
      <c r="G30" s="57">
        <f ca="1">VLOOKUP(A30,INDIRECT('LOCCS Import'!$X$3&amp;"$A$3"):INDIRECT('LOCCS Import'!$X$3&amp;"$O$54"),7,)</f>
        <v>1.95</v>
      </c>
      <c r="H30" s="57">
        <f ca="1">VLOOKUP(A30,INDIRECT('LOCCS Import'!$W$3&amp;"$A$3"):INDIRECT('LOCCS Import'!$W$3&amp;"$O$54"),7,)</f>
        <v>2.88</v>
      </c>
      <c r="I30" s="57">
        <f ca="1">VLOOKUP(A30,INDIRECT('LOCCS Import'!$V$3&amp;"$A$3"):INDIRECT('LOCCS Import'!$V$3&amp;"$O$54"),7,)</f>
        <v>2.84</v>
      </c>
      <c r="J30" s="57">
        <f ca="1">VLOOKUP(A30,INDIRECT('LOCCS Import'!$U$3&amp;"$A$3"):INDIRECT('LOCCS Import'!$U$3&amp;"$O$54"),7,)</f>
        <v>2.79</v>
      </c>
      <c r="K30" s="57">
        <f ca="1">VLOOKUP(A30,INDIRECT('LOCCS Import'!$T$3&amp;"$A$3"):INDIRECT('LOCCS Import'!$T$3&amp;"$O$54"),7,)</f>
        <v>2.72</v>
      </c>
      <c r="L30" s="57">
        <f ca="1">VLOOKUP(A30,INDIRECT('LOCCS Import'!$S$3&amp;"$A$3"):INDIRECT('LOCCS Import'!$S$3&amp;"$O$54"),7,)</f>
        <v>2.68</v>
      </c>
      <c r="M30" s="57">
        <f ca="1">VLOOKUP(A30,INDIRECT('LOCCS Import'!$R$3&amp;"$A$3"):INDIRECT('LOCCS Import'!$R$3&amp;"$O$54"),7,)</f>
        <v>2.6</v>
      </c>
      <c r="N30" s="57">
        <f ca="1">VLOOKUP(A30,INDIRECT('LOCCS Import'!$Q$3&amp;"$A$3"):INDIRECT('LOCCS Import'!$Q$3&amp;"$O$54"),7,)</f>
        <v>2.58</v>
      </c>
      <c r="O30" s="57">
        <f ca="1">VLOOKUP(A30,INDIRECT('LOCCS Import'!$P$3&amp;"$A$3"):INDIRECT('LOCCS Import'!$P$3&amp;"$O$54"),7,)</f>
        <v>2.58</v>
      </c>
      <c r="P30" s="57">
        <f ca="1">VLOOKUP(A30,INDIRECT('LOCCS Import'!$O$3&amp;"$A$3"):INDIRECT('LOCCS Import'!$O$3&amp;"$O$54"),7,)</f>
        <v>2.48</v>
      </c>
      <c r="Q30" s="57">
        <f ca="1">VLOOKUP(A30,INDIRECT('LOCCS Import'!$N$3&amp;"$A$3"):INDIRECT('LOCCS Import'!$N$3&amp;"$O$54"),7,)</f>
        <v>2.4500000000000002</v>
      </c>
      <c r="R30" s="57">
        <f ca="1">VLOOKUP(A30,INDIRECT('LOCCS Import'!$M$3&amp;"$A$3"):INDIRECT('LOCCS Import'!$M$3&amp;"$O$54"),7,)</f>
        <v>2.37</v>
      </c>
      <c r="S30" s="57">
        <f ca="1">VLOOKUP(A30,INDIRECT('LOCCS Import'!$L$3&amp;"$A$3"):INDIRECT('LOCCS Import'!$L$3&amp;"$O$54"),7,)</f>
        <v>2.31</v>
      </c>
      <c r="T30" s="57">
        <f ca="1">VLOOKUP(A30,INDIRECT('LOCCS Import'!$K$3&amp;"$A$3"):INDIRECT('LOCCS Import'!$K$3&amp;"$O$54"),7,)</f>
        <v>3.22</v>
      </c>
      <c r="U30" s="57">
        <f ca="1">VLOOKUP(A30,INDIRECT('LOCCS Import'!$J$3&amp;"$A$3"):INDIRECT('LOCCS Import'!$J$3&amp;"$O$54"),7,)</f>
        <v>3.13</v>
      </c>
      <c r="V30" s="57">
        <f ca="1">VLOOKUP(A30,INDIRECT('LOCCS Import'!$I$3&amp;"$A$3"):INDIRECT('LOCCS Import'!$I$3&amp;"$O$54"),7,)</f>
        <v>3.04</v>
      </c>
      <c r="W30" s="57">
        <f ca="1">VLOOKUP(A30,INDIRECT('LOCCS Import'!$H$3&amp;"$A$3"):INDIRECT('LOCCS Import'!$H$3&amp;"$O$54"),7,)</f>
        <v>2.92</v>
      </c>
      <c r="X30" s="57">
        <f ca="1">VLOOKUP(A30,INDIRECT('LOCCS Import'!$G$3&amp;"$A$3"):INDIRECT('LOCCS Import'!$G$3&amp;"$O$54"),7,)</f>
        <v>2.9</v>
      </c>
      <c r="Y30" s="57">
        <f ca="1">VLOOKUP(A30,INDIRECT('LOCCS Import'!$F$3&amp;"$A$3"):INDIRECT('LOCCS Import'!$F$3&amp;"$O$54"),7,)</f>
        <v>2.77</v>
      </c>
      <c r="Z30" s="57">
        <f ca="1">VLOOKUP(A30,INDIRECT('LOCCS Import'!$E$3&amp;"$A$3"):INDIRECT('LOCCS Import'!$E$3&amp;"$O$54"),7,)</f>
        <v>2.69</v>
      </c>
      <c r="AA30" s="57">
        <f>VLOOKUP(A30,template!$A$3:$P$54,7,)</f>
        <v>2.62</v>
      </c>
      <c r="AB30" s="55">
        <f t="shared" ca="1" si="0"/>
        <v>3.22</v>
      </c>
      <c r="AC30" s="57">
        <f t="shared" ca="1" si="1"/>
        <v>2.31</v>
      </c>
      <c r="AD30" s="58">
        <f t="shared" ca="1" si="2"/>
        <v>2.7416666666666667</v>
      </c>
      <c r="AE30" s="80">
        <f t="shared" ca="1" si="3"/>
        <v>19</v>
      </c>
      <c r="AF30" s="127"/>
      <c r="AG30" s="3">
        <f ca="1">VLOOKUP(A30,INDIRECT('LOCCS Import'!$AA$3&amp;"$A$3"):INDIRECT('LOCCS Import'!$AA$3&amp;"$O$54"),8,)</f>
        <v>0.83</v>
      </c>
      <c r="AH30" s="1">
        <f ca="1">VLOOKUP(A30,INDIRECT('LOCCS Import'!$Z$3&amp;"$A$3"):INDIRECT('LOCCS Import'!$Z$3&amp;"$O$54"),8,)</f>
        <v>0.84</v>
      </c>
      <c r="AI30" s="1">
        <f ca="1">VLOOKUP(A30,INDIRECT('LOCCS Import'!$Y$3&amp;"$A$3"):INDIRECT('LOCCS Import'!$Y$3&amp;"$O$54"),8,)</f>
        <v>0.67</v>
      </c>
      <c r="AJ30" s="1">
        <f ca="1">VLOOKUP(A30,INDIRECT('LOCCS Import'!$X$3&amp;"$A$3"):INDIRECT('LOCCS Import'!$X$3&amp;"$O$54"),8,)</f>
        <v>0.65</v>
      </c>
      <c r="AK30" s="1">
        <f ca="1">VLOOKUP(A30,INDIRECT('LOCCS Import'!$W$3&amp;"$A$3"):INDIRECT('LOCCS Import'!$W$3&amp;"$O$54"),8,)</f>
        <v>0.66</v>
      </c>
      <c r="AL30" s="1">
        <f ca="1">VLOOKUP(A30,INDIRECT('LOCCS Import'!$V$3&amp;"$A$3"):INDIRECT('LOCCS Import'!$V$3&amp;"$O$54"),8,)</f>
        <v>0.6</v>
      </c>
      <c r="AM30" s="1">
        <f ca="1">VLOOKUP(A30,INDIRECT('LOCCS Import'!$U$3&amp;"$A$3"):INDIRECT('LOCCS Import'!$U$3&amp;"$O$54"),8,)</f>
        <v>0.55000000000000004</v>
      </c>
      <c r="AN30" s="1">
        <f ca="1">VLOOKUP(A30,INDIRECT('LOCCS Import'!$T$3&amp;"$A$3"):INDIRECT('LOCCS Import'!$T$3&amp;"$O$54"),8,)</f>
        <v>0.56000000000000005</v>
      </c>
      <c r="AO30" s="1">
        <f ca="1">VLOOKUP(A30,INDIRECT('LOCCS Import'!$S$3&amp;"$A$3"):INDIRECT('LOCCS Import'!$S$3&amp;"$O$54"),8,)</f>
        <v>0.55000000000000004</v>
      </c>
      <c r="AP30" s="1">
        <f ca="1">VLOOKUP(A30,INDIRECT('LOCCS Import'!$R$3&amp;"$A$3"):INDIRECT('LOCCS Import'!$R$3&amp;"$O$54"),8,)</f>
        <v>0.56000000000000005</v>
      </c>
      <c r="AQ30" s="1">
        <f ca="1">VLOOKUP(A30,INDIRECT('LOCCS Import'!$Q$3&amp;"$A$3"):INDIRECT('LOCCS Import'!$Q$3&amp;"$O$54"),8,)</f>
        <v>0.56000000000000005</v>
      </c>
      <c r="AR30" s="1">
        <f ca="1">VLOOKUP(A30,INDIRECT('LOCCS Import'!$P$3&amp;"$A$3"):INDIRECT('LOCCS Import'!$P$3&amp;"$O$54"),8,)</f>
        <v>0.56000000000000005</v>
      </c>
      <c r="AS30" s="1">
        <f ca="1">VLOOKUP(A30,INDIRECT('LOCCS Import'!$O$3&amp;"$A$3"):INDIRECT('LOCCS Import'!$O$3&amp;"$O$54"),8,)</f>
        <v>0.56000000000000005</v>
      </c>
      <c r="AT30" s="1">
        <f ca="1">VLOOKUP(A30,INDIRECT('LOCCS Import'!$N$3&amp;"$A$3"):INDIRECT('LOCCS Import'!$N$3&amp;"$O$54"),8,)</f>
        <v>0.56000000000000005</v>
      </c>
      <c r="AU30" s="1">
        <f ca="1">VLOOKUP(A30,INDIRECT('LOCCS Import'!$M$3&amp;"$A$3"):INDIRECT('LOCCS Import'!$M$3&amp;"$O$54"),8,)</f>
        <v>0.64</v>
      </c>
      <c r="AV30" s="1">
        <f ca="1">VLOOKUP(A30,INDIRECT('LOCCS Import'!$L$3&amp;"$A$3"):INDIRECT('LOCCS Import'!$L$3&amp;"$O$54"),8,)</f>
        <v>0.63</v>
      </c>
      <c r="AW30" s="1">
        <f ca="1">VLOOKUP(A30,INDIRECT('LOCCS Import'!$K$3&amp;"$A$3"):INDIRECT('LOCCS Import'!$K$3&amp;"$O$54"),8,)</f>
        <v>0.57999999999999996</v>
      </c>
      <c r="AX30" s="1">
        <f ca="1">VLOOKUP(A30,INDIRECT('LOCCS Import'!$J$3&amp;"$A$3"):INDIRECT('LOCCS Import'!$J$3&amp;"$O$54"),8,)</f>
        <v>0.68</v>
      </c>
      <c r="AY30" s="1">
        <f ca="1">VLOOKUP(A30,INDIRECT('LOCCS Import'!$I$3&amp;"$A$3"):INDIRECT('LOCCS Import'!$I$3&amp;"$O$54"),8,)</f>
        <v>0.72</v>
      </c>
      <c r="AZ30" s="1">
        <f ca="1">VLOOKUP(A30,INDIRECT('LOCCS Import'!$H$3&amp;"$A$3"):INDIRECT('LOCCS Import'!$H$3&amp;"$O$54"),8,)</f>
        <v>0.78</v>
      </c>
      <c r="BA30" s="1">
        <f ca="1">VLOOKUP(A30,INDIRECT('LOCCS Import'!$G$3&amp;"$A$3"):INDIRECT('LOCCS Import'!$G$3&amp;"$O$54"),8,)</f>
        <v>0.76</v>
      </c>
      <c r="BB30" s="1">
        <f ca="1">VLOOKUP(A30,INDIRECT('LOCCS Import'!$F$3&amp;"$A$3"):INDIRECT('LOCCS Import'!$F$3&amp;"$O$54"),8,)</f>
        <v>0.81</v>
      </c>
      <c r="BC30" s="1">
        <f ca="1">VLOOKUP(A30,INDIRECT('LOCCS Import'!$E$3&amp;"$A$3"):INDIRECT('LOCCS Import'!$E$3&amp;"$O$54"),8,)</f>
        <v>0.87</v>
      </c>
      <c r="BD30" s="2">
        <f>VLOOKUP(A30,template!$A$3:$P$54,8,)</f>
        <v>0.9</v>
      </c>
      <c r="BE30" s="2">
        <f t="shared" ca="1" si="4"/>
        <v>0.70750000000000002</v>
      </c>
      <c r="BF30" s="109">
        <f t="shared" ca="1" si="5"/>
        <v>45</v>
      </c>
    </row>
    <row r="31" spans="1:58" x14ac:dyDescent="0.3">
      <c r="A31" s="64" t="s">
        <v>44</v>
      </c>
      <c r="B31" s="61" t="s">
        <v>157</v>
      </c>
      <c r="C31" s="61" t="s">
        <v>186</v>
      </c>
      <c r="D31" s="57">
        <f ca="1">VLOOKUP(A31,INDIRECT('LOCCS Import'!$AA$3&amp;"$A$3"):INDIRECT('LOCCS Import'!$AA$3&amp;"$O$54"),7,)</f>
        <v>2.95</v>
      </c>
      <c r="E31" s="57">
        <f ca="1">VLOOKUP(A31,INDIRECT('LOCCS Import'!$Z$3&amp;"$A$3"):INDIRECT('LOCCS Import'!$Z$3&amp;"$O$54"),7,)</f>
        <v>2.44</v>
      </c>
      <c r="F31" s="57">
        <f ca="1">VLOOKUP(A31,INDIRECT('LOCCS Import'!$Y$3&amp;"$A$3"):INDIRECT('LOCCS Import'!$Y$3&amp;"$O$54"),7,)</f>
        <v>3.29</v>
      </c>
      <c r="G31" s="57">
        <f ca="1">VLOOKUP(A31,INDIRECT('LOCCS Import'!$X$3&amp;"$A$3"):INDIRECT('LOCCS Import'!$X$3&amp;"$O$54"),7,)</f>
        <v>3.23</v>
      </c>
      <c r="H31" s="57">
        <f ca="1">VLOOKUP(A31,INDIRECT('LOCCS Import'!$W$3&amp;"$A$3"):INDIRECT('LOCCS Import'!$W$3&amp;"$O$54"),7,)</f>
        <v>3.21</v>
      </c>
      <c r="I31" s="57">
        <f ca="1">VLOOKUP(A31,INDIRECT('LOCCS Import'!$V$3&amp;"$A$3"):INDIRECT('LOCCS Import'!$V$3&amp;"$O$54"),7,)</f>
        <v>3.14</v>
      </c>
      <c r="J31" s="57">
        <f ca="1">VLOOKUP(A31,INDIRECT('LOCCS Import'!$U$3&amp;"$A$3"):INDIRECT('LOCCS Import'!$U$3&amp;"$O$54"),7,)</f>
        <v>4.1100000000000003</v>
      </c>
      <c r="K31" s="57">
        <f ca="1">VLOOKUP(A31,INDIRECT('LOCCS Import'!$T$3&amp;"$A$3"):INDIRECT('LOCCS Import'!$T$3&amp;"$O$54"),7,)</f>
        <v>4.1100000000000003</v>
      </c>
      <c r="L31" s="57">
        <f ca="1">VLOOKUP(A31,INDIRECT('LOCCS Import'!$S$3&amp;"$A$3"):INDIRECT('LOCCS Import'!$S$3&amp;"$O$54"),7,)</f>
        <v>3.7</v>
      </c>
      <c r="M31" s="57">
        <f ca="1">VLOOKUP(A31,INDIRECT('LOCCS Import'!$R$3&amp;"$A$3"):INDIRECT('LOCCS Import'!$R$3&amp;"$O$54"),7,)</f>
        <v>3.63</v>
      </c>
      <c r="N31" s="57">
        <f ca="1">VLOOKUP(A31,INDIRECT('LOCCS Import'!$Q$3&amp;"$A$3"):INDIRECT('LOCCS Import'!$Q$3&amp;"$O$54"),7,)</f>
        <v>3.39</v>
      </c>
      <c r="O31" s="57">
        <f ca="1">VLOOKUP(A31,INDIRECT('LOCCS Import'!$P$3&amp;"$A$3"):INDIRECT('LOCCS Import'!$P$3&amp;"$O$54"),7,)</f>
        <v>3.39</v>
      </c>
      <c r="P31" s="57">
        <f ca="1">VLOOKUP(A31,INDIRECT('LOCCS Import'!$O$3&amp;"$A$3"):INDIRECT('LOCCS Import'!$O$3&amp;"$O$54"),7,)</f>
        <v>3.36</v>
      </c>
      <c r="Q31" s="57">
        <f ca="1">VLOOKUP(A31,INDIRECT('LOCCS Import'!$N$3&amp;"$A$3"):INDIRECT('LOCCS Import'!$N$3&amp;"$O$54"),7,)</f>
        <v>3.34</v>
      </c>
      <c r="R31" s="57">
        <f ca="1">VLOOKUP(A31,INDIRECT('LOCCS Import'!$M$3&amp;"$A$3"):INDIRECT('LOCCS Import'!$M$3&amp;"$O$54"),7,)</f>
        <v>3.31</v>
      </c>
      <c r="S31" s="57">
        <f ca="1">VLOOKUP(A31,INDIRECT('LOCCS Import'!$L$3&amp;"$A$3"):INDIRECT('LOCCS Import'!$L$3&amp;"$O$54"),7,)</f>
        <v>3.16</v>
      </c>
      <c r="T31" s="57">
        <f ca="1">VLOOKUP(A31,INDIRECT('LOCCS Import'!$K$3&amp;"$A$3"):INDIRECT('LOCCS Import'!$K$3&amp;"$O$54"),7,)</f>
        <v>3.03</v>
      </c>
      <c r="U31" s="57">
        <f ca="1">VLOOKUP(A31,INDIRECT('LOCCS Import'!$J$3&amp;"$A$3"):INDIRECT('LOCCS Import'!$J$3&amp;"$O$54"),7,)</f>
        <v>3.02</v>
      </c>
      <c r="V31" s="57">
        <f ca="1">VLOOKUP(A31,INDIRECT('LOCCS Import'!$I$3&amp;"$A$3"):INDIRECT('LOCCS Import'!$I$3&amp;"$O$54"),7,)</f>
        <v>3.02</v>
      </c>
      <c r="W31" s="57">
        <f ca="1">VLOOKUP(A31,INDIRECT('LOCCS Import'!$H$3&amp;"$A$3"):INDIRECT('LOCCS Import'!$H$3&amp;"$O$54"),7,)</f>
        <v>3.95</v>
      </c>
      <c r="X31" s="57">
        <f ca="1">VLOOKUP(A31,INDIRECT('LOCCS Import'!$G$3&amp;"$A$3"):INDIRECT('LOCCS Import'!$G$3&amp;"$O$54"),7,)</f>
        <v>3.81</v>
      </c>
      <c r="Y31" s="57">
        <f ca="1">VLOOKUP(A31,INDIRECT('LOCCS Import'!$F$3&amp;"$A$3"):INDIRECT('LOCCS Import'!$F$3&amp;"$O$54"),7,)</f>
        <v>3.72</v>
      </c>
      <c r="Z31" s="57">
        <f ca="1">VLOOKUP(A31,INDIRECT('LOCCS Import'!$E$3&amp;"$A$3"):INDIRECT('LOCCS Import'!$E$3&amp;"$O$54"),7,)</f>
        <v>3.65</v>
      </c>
      <c r="AA31" s="57">
        <f>VLOOKUP(A31,template!$A$3:$P$54,7,)</f>
        <v>3.64</v>
      </c>
      <c r="AB31" s="55">
        <f t="shared" ca="1" si="0"/>
        <v>3.95</v>
      </c>
      <c r="AC31" s="57">
        <f t="shared" ca="1" si="1"/>
        <v>3.02</v>
      </c>
      <c r="AD31" s="58">
        <f t="shared" ca="1" si="2"/>
        <v>3.4175</v>
      </c>
      <c r="AE31" s="80">
        <f t="shared" ca="1" si="3"/>
        <v>32</v>
      </c>
      <c r="AF31" s="127"/>
      <c r="AG31" s="3">
        <f ca="1">VLOOKUP(A31,INDIRECT('LOCCS Import'!$AA$3&amp;"$A$3"):INDIRECT('LOCCS Import'!$AA$3&amp;"$O$54"),8,)</f>
        <v>0.79</v>
      </c>
      <c r="AH31" s="1">
        <f ca="1">VLOOKUP(A31,INDIRECT('LOCCS Import'!$Z$3&amp;"$A$3"):INDIRECT('LOCCS Import'!$Z$3&amp;"$O$54"),8,)</f>
        <v>1.22</v>
      </c>
      <c r="AI31" s="1">
        <f ca="1">VLOOKUP(A31,INDIRECT('LOCCS Import'!$Y$3&amp;"$A$3"):INDIRECT('LOCCS Import'!$Y$3&amp;"$O$54"),8,)</f>
        <v>1.33</v>
      </c>
      <c r="AJ31" s="1">
        <f ca="1">VLOOKUP(A31,INDIRECT('LOCCS Import'!$X$3&amp;"$A$3"):INDIRECT('LOCCS Import'!$X$3&amp;"$O$54"),8,)</f>
        <v>1.36</v>
      </c>
      <c r="AK31" s="1">
        <f ca="1">VLOOKUP(A31,INDIRECT('LOCCS Import'!$W$3&amp;"$A$3"):INDIRECT('LOCCS Import'!$W$3&amp;"$O$54"),8,)</f>
        <v>1.1299999999999999</v>
      </c>
      <c r="AL31" s="1">
        <f ca="1">VLOOKUP(A31,INDIRECT('LOCCS Import'!$V$3&amp;"$A$3"):INDIRECT('LOCCS Import'!$V$3&amp;"$O$54"),8,)</f>
        <v>1.05</v>
      </c>
      <c r="AM31" s="1">
        <f ca="1">VLOOKUP(A31,INDIRECT('LOCCS Import'!$U$3&amp;"$A$3"):INDIRECT('LOCCS Import'!$U$3&amp;"$O$54"),8,)</f>
        <v>1.0900000000000001</v>
      </c>
      <c r="AN31" s="1">
        <f ca="1">VLOOKUP(A31,INDIRECT('LOCCS Import'!$T$3&amp;"$A$3"):INDIRECT('LOCCS Import'!$T$3&amp;"$O$54"),8,)</f>
        <v>1.05</v>
      </c>
      <c r="AO31" s="1">
        <f ca="1">VLOOKUP(A31,INDIRECT('LOCCS Import'!$S$3&amp;"$A$3"):INDIRECT('LOCCS Import'!$S$3&amp;"$O$54"),8,)</f>
        <v>1.46</v>
      </c>
      <c r="AP31" s="1">
        <f ca="1">VLOOKUP(A31,INDIRECT('LOCCS Import'!$R$3&amp;"$A$3"):INDIRECT('LOCCS Import'!$R$3&amp;"$O$54"),8,)</f>
        <v>1.48</v>
      </c>
      <c r="AQ31" s="1">
        <f ca="1">VLOOKUP(A31,INDIRECT('LOCCS Import'!$Q$3&amp;"$A$3"):INDIRECT('LOCCS Import'!$Q$3&amp;"$O$54"),8,)</f>
        <v>1.6</v>
      </c>
      <c r="AR31" s="1">
        <f ca="1">VLOOKUP(A31,INDIRECT('LOCCS Import'!$P$3&amp;"$A$3"):INDIRECT('LOCCS Import'!$P$3&amp;"$O$54"),8,)</f>
        <v>1.6</v>
      </c>
      <c r="AS31" s="1">
        <f ca="1">VLOOKUP(A31,INDIRECT('LOCCS Import'!$O$3&amp;"$A$3"):INDIRECT('LOCCS Import'!$O$3&amp;"$O$54"),8,)</f>
        <v>1.58</v>
      </c>
      <c r="AT31" s="1">
        <f ca="1">VLOOKUP(A31,INDIRECT('LOCCS Import'!$N$3&amp;"$A$3"):INDIRECT('LOCCS Import'!$N$3&amp;"$O$54"),8,)</f>
        <v>1.05</v>
      </c>
      <c r="AU31" s="1">
        <f ca="1">VLOOKUP(A31,INDIRECT('LOCCS Import'!$M$3&amp;"$A$3"):INDIRECT('LOCCS Import'!$M$3&amp;"$O$54"),8,)</f>
        <v>0.99</v>
      </c>
      <c r="AV31" s="1">
        <f ca="1">VLOOKUP(A31,INDIRECT('LOCCS Import'!$L$3&amp;"$A$3"):INDIRECT('LOCCS Import'!$L$3&amp;"$O$54"),8,)</f>
        <v>1.08</v>
      </c>
      <c r="AW31" s="1">
        <f ca="1">VLOOKUP(A31,INDIRECT('LOCCS Import'!$K$3&amp;"$A$3"):INDIRECT('LOCCS Import'!$K$3&amp;"$O$54"),8,)</f>
        <v>1.06</v>
      </c>
      <c r="AX31" s="1">
        <f ca="1">VLOOKUP(A31,INDIRECT('LOCCS Import'!$J$3&amp;"$A$3"):INDIRECT('LOCCS Import'!$J$3&amp;"$O$54"),8,)</f>
        <v>1.1200000000000001</v>
      </c>
      <c r="AY31" s="1">
        <f ca="1">VLOOKUP(A31,INDIRECT('LOCCS Import'!$I$3&amp;"$A$3"):INDIRECT('LOCCS Import'!$I$3&amp;"$O$54"),8,)</f>
        <v>1.08</v>
      </c>
      <c r="AZ31" s="1">
        <f ca="1">VLOOKUP(A31,INDIRECT('LOCCS Import'!$H$3&amp;"$A$3"):INDIRECT('LOCCS Import'!$H$3&amp;"$O$54"),8,)</f>
        <v>1.07</v>
      </c>
      <c r="BA31" s="1">
        <f ca="1">VLOOKUP(A31,INDIRECT('LOCCS Import'!$G$3&amp;"$A$3"):INDIRECT('LOCCS Import'!$G$3&amp;"$O$54"),8,)</f>
        <v>0.81</v>
      </c>
      <c r="BB31" s="1">
        <f ca="1">VLOOKUP(A31,INDIRECT('LOCCS Import'!$F$3&amp;"$A$3"):INDIRECT('LOCCS Import'!$F$3&amp;"$O$54"),8,)</f>
        <v>0.78</v>
      </c>
      <c r="BC31" s="1">
        <f ca="1">VLOOKUP(A31,INDIRECT('LOCCS Import'!$E$3&amp;"$A$3"):INDIRECT('LOCCS Import'!$E$3&amp;"$O$54"),8,)</f>
        <v>0.65</v>
      </c>
      <c r="BD31" s="2">
        <f>VLOOKUP(A31,template!$A$3:$P$54,8,)</f>
        <v>0.66</v>
      </c>
      <c r="BE31" s="2">
        <f t="shared" ca="1" si="4"/>
        <v>0.99416666666666664</v>
      </c>
      <c r="BF31" s="109">
        <f t="shared" ca="1" si="5"/>
        <v>20</v>
      </c>
    </row>
    <row r="32" spans="1:58" x14ac:dyDescent="0.3">
      <c r="A32" s="64" t="s">
        <v>31</v>
      </c>
      <c r="B32" s="61" t="s">
        <v>167</v>
      </c>
      <c r="C32" s="61" t="s">
        <v>187</v>
      </c>
      <c r="D32" s="57">
        <f ca="1">VLOOKUP(A32,INDIRECT('LOCCS Import'!$AA$3&amp;"$A$3"):INDIRECT('LOCCS Import'!$AA$3&amp;"$O$54"),7,)</f>
        <v>3.77</v>
      </c>
      <c r="E32" s="57">
        <f ca="1">VLOOKUP(A32,INDIRECT('LOCCS Import'!$Z$3&amp;"$A$3"):INDIRECT('LOCCS Import'!$Z$3&amp;"$O$54"),7,)</f>
        <v>3.67</v>
      </c>
      <c r="F32" s="57">
        <f ca="1">VLOOKUP(A32,INDIRECT('LOCCS Import'!$Y$3&amp;"$A$3"):INDIRECT('LOCCS Import'!$Y$3&amp;"$O$54"),7,)</f>
        <v>3.66</v>
      </c>
      <c r="G32" s="57">
        <f ca="1">VLOOKUP(A32,INDIRECT('LOCCS Import'!$X$3&amp;"$A$3"):INDIRECT('LOCCS Import'!$X$3&amp;"$O$54"),7,)</f>
        <v>3.56</v>
      </c>
      <c r="H32" s="57">
        <f ca="1">VLOOKUP(A32,INDIRECT('LOCCS Import'!$W$3&amp;"$A$3"):INDIRECT('LOCCS Import'!$W$3&amp;"$O$54"),7,)</f>
        <v>4.5599999999999996</v>
      </c>
      <c r="I32" s="57">
        <f ca="1">VLOOKUP(A32,INDIRECT('LOCCS Import'!$V$3&amp;"$A$3"):INDIRECT('LOCCS Import'!$V$3&amp;"$O$54"),7,)</f>
        <v>4.51</v>
      </c>
      <c r="J32" s="57">
        <f ca="1">VLOOKUP(A32,INDIRECT('LOCCS Import'!$U$3&amp;"$A$3"):INDIRECT('LOCCS Import'!$U$3&amp;"$O$54"),7,)</f>
        <v>4.51</v>
      </c>
      <c r="K32" s="57">
        <f ca="1">VLOOKUP(A32,INDIRECT('LOCCS Import'!$T$3&amp;"$A$3"):INDIRECT('LOCCS Import'!$T$3&amp;"$O$54"),7,)</f>
        <v>4.4800000000000004</v>
      </c>
      <c r="L32" s="57">
        <f ca="1">VLOOKUP(A32,INDIRECT('LOCCS Import'!$S$3&amp;"$A$3"):INDIRECT('LOCCS Import'!$S$3&amp;"$O$54"),7,)</f>
        <v>4.33</v>
      </c>
      <c r="M32" s="57">
        <f ca="1">VLOOKUP(A32,INDIRECT('LOCCS Import'!$R$3&amp;"$A$3"):INDIRECT('LOCCS Import'!$R$3&amp;"$O$54"),7,)</f>
        <v>4.33</v>
      </c>
      <c r="N32" s="57">
        <f ca="1">VLOOKUP(A32,INDIRECT('LOCCS Import'!$Q$3&amp;"$A$3"):INDIRECT('LOCCS Import'!$Q$3&amp;"$O$54"),7,)</f>
        <v>4.21</v>
      </c>
      <c r="O32" s="57">
        <f ca="1">VLOOKUP(A32,INDIRECT('LOCCS Import'!$P$3&amp;"$A$3"):INDIRECT('LOCCS Import'!$P$3&amp;"$O$54"),7,)</f>
        <v>4.21</v>
      </c>
      <c r="P32" s="57">
        <f ca="1">VLOOKUP(A32,INDIRECT('LOCCS Import'!$O$3&amp;"$A$3"):INDIRECT('LOCCS Import'!$O$3&amp;"$O$54"),7,)</f>
        <v>4.1500000000000004</v>
      </c>
      <c r="Q32" s="57">
        <f ca="1">VLOOKUP(A32,INDIRECT('LOCCS Import'!$N$3&amp;"$A$3"):INDIRECT('LOCCS Import'!$N$3&amp;"$O$54"),7,)</f>
        <v>4</v>
      </c>
      <c r="R32" s="57">
        <f ca="1">VLOOKUP(A32,INDIRECT('LOCCS Import'!$M$3&amp;"$A$3"):INDIRECT('LOCCS Import'!$M$3&amp;"$O$54"),7,)</f>
        <v>3.89</v>
      </c>
      <c r="S32" s="57">
        <f ca="1">VLOOKUP(A32,INDIRECT('LOCCS Import'!$L$3&amp;"$A$3"):INDIRECT('LOCCS Import'!$L$3&amp;"$O$54"),7,)</f>
        <v>3.89</v>
      </c>
      <c r="T32" s="57">
        <f ca="1">VLOOKUP(A32,INDIRECT('LOCCS Import'!$K$3&amp;"$A$3"):INDIRECT('LOCCS Import'!$K$3&amp;"$O$54"),7,)</f>
        <v>3.74</v>
      </c>
      <c r="U32" s="57">
        <f ca="1">VLOOKUP(A32,INDIRECT('LOCCS Import'!$J$3&amp;"$A$3"):INDIRECT('LOCCS Import'!$J$3&amp;"$O$54"),7,)</f>
        <v>3.65</v>
      </c>
      <c r="V32" s="57">
        <f ca="1">VLOOKUP(A32,INDIRECT('LOCCS Import'!$I$3&amp;"$A$3"):INDIRECT('LOCCS Import'!$I$3&amp;"$O$54"),7,)</f>
        <v>3.52</v>
      </c>
      <c r="W32" s="57">
        <f ca="1">VLOOKUP(A32,INDIRECT('LOCCS Import'!$H$3&amp;"$A$3"):INDIRECT('LOCCS Import'!$H$3&amp;"$O$54"),7,)</f>
        <v>4.5599999999999996</v>
      </c>
      <c r="X32" s="57">
        <f ca="1">VLOOKUP(A32,INDIRECT('LOCCS Import'!$G$3&amp;"$A$3"):INDIRECT('LOCCS Import'!$G$3&amp;"$O$54"),7,)</f>
        <v>4.41</v>
      </c>
      <c r="Y32" s="57">
        <f ca="1">VLOOKUP(A32,INDIRECT('LOCCS Import'!$F$3&amp;"$A$3"):INDIRECT('LOCCS Import'!$F$3&amp;"$O$54"),7,)</f>
        <v>4.29</v>
      </c>
      <c r="Z32" s="57">
        <f ca="1">VLOOKUP(A32,INDIRECT('LOCCS Import'!$E$3&amp;"$A$3"):INDIRECT('LOCCS Import'!$E$3&amp;"$O$54"),7,)</f>
        <v>4.22</v>
      </c>
      <c r="AA32" s="57">
        <f>VLOOKUP(A32,template!$A$3:$P$54,7,)</f>
        <v>4.2</v>
      </c>
      <c r="AB32" s="55">
        <f t="shared" ca="1" si="0"/>
        <v>4.5599999999999996</v>
      </c>
      <c r="AC32" s="57">
        <f t="shared" ca="1" si="1"/>
        <v>3.52</v>
      </c>
      <c r="AD32" s="58">
        <f t="shared" ca="1" si="2"/>
        <v>4.0433333333333339</v>
      </c>
      <c r="AE32" s="80">
        <f t="shared" ca="1" si="3"/>
        <v>41</v>
      </c>
      <c r="AF32" s="127"/>
      <c r="AG32" s="3">
        <f ca="1">VLOOKUP(A32,INDIRECT('LOCCS Import'!$AA$3&amp;"$A$3"):INDIRECT('LOCCS Import'!$AA$3&amp;"$O$54"),8,)</f>
        <v>0.75</v>
      </c>
      <c r="AH32" s="1">
        <f ca="1">VLOOKUP(A32,INDIRECT('LOCCS Import'!$Z$3&amp;"$A$3"):INDIRECT('LOCCS Import'!$Z$3&amp;"$O$54"),8,)</f>
        <v>0.83</v>
      </c>
      <c r="AI32" s="1">
        <f ca="1">VLOOKUP(A32,INDIRECT('LOCCS Import'!$Y$3&amp;"$A$3"):INDIRECT('LOCCS Import'!$Y$3&amp;"$O$54"),8,)</f>
        <v>0.69</v>
      </c>
      <c r="AJ32" s="1">
        <f ca="1">VLOOKUP(A32,INDIRECT('LOCCS Import'!$X$3&amp;"$A$3"):INDIRECT('LOCCS Import'!$X$3&amp;"$O$54"),8,)</f>
        <v>0.77</v>
      </c>
      <c r="AK32" s="1">
        <f ca="1">VLOOKUP(A32,INDIRECT('LOCCS Import'!$W$3&amp;"$A$3"):INDIRECT('LOCCS Import'!$W$3&amp;"$O$54"),8,)</f>
        <v>0.76</v>
      </c>
      <c r="AL32" s="1">
        <f ca="1">VLOOKUP(A32,INDIRECT('LOCCS Import'!$V$3&amp;"$A$3"):INDIRECT('LOCCS Import'!$V$3&amp;"$O$54"),8,)</f>
        <v>0.71</v>
      </c>
      <c r="AM32" s="1">
        <f ca="1">VLOOKUP(A32,INDIRECT('LOCCS Import'!$U$3&amp;"$A$3"):INDIRECT('LOCCS Import'!$U$3&amp;"$O$54"),8,)</f>
        <v>0.64</v>
      </c>
      <c r="AN32" s="1">
        <f ca="1">VLOOKUP(A32,INDIRECT('LOCCS Import'!$T$3&amp;"$A$3"):INDIRECT('LOCCS Import'!$T$3&amp;"$O$54"),8,)</f>
        <v>0.63</v>
      </c>
      <c r="AO32" s="1">
        <f ca="1">VLOOKUP(A32,INDIRECT('LOCCS Import'!$S$3&amp;"$A$3"):INDIRECT('LOCCS Import'!$S$3&amp;"$O$54"),8,)</f>
        <v>0.67</v>
      </c>
      <c r="AP32" s="1">
        <f ca="1">VLOOKUP(A32,INDIRECT('LOCCS Import'!$R$3&amp;"$A$3"):INDIRECT('LOCCS Import'!$R$3&amp;"$O$54"),8,)</f>
        <v>0.63</v>
      </c>
      <c r="AQ32" s="1">
        <f ca="1">VLOOKUP(A32,INDIRECT('LOCCS Import'!$Q$3&amp;"$A$3"):INDIRECT('LOCCS Import'!$Q$3&amp;"$O$54"),8,)</f>
        <v>0.75</v>
      </c>
      <c r="AR32" s="1">
        <f ca="1">VLOOKUP(A32,INDIRECT('LOCCS Import'!$P$3&amp;"$A$3"):INDIRECT('LOCCS Import'!$P$3&amp;"$O$54"),8,)</f>
        <v>0.75</v>
      </c>
      <c r="AS32" s="1">
        <f ca="1">VLOOKUP(A32,INDIRECT('LOCCS Import'!$O$3&amp;"$A$3"):INDIRECT('LOCCS Import'!$O$3&amp;"$O$54"),8,)</f>
        <v>0.68</v>
      </c>
      <c r="AT32" s="1">
        <f ca="1">VLOOKUP(A32,INDIRECT('LOCCS Import'!$N$3&amp;"$A$3"):INDIRECT('LOCCS Import'!$N$3&amp;"$O$54"),8,)</f>
        <v>0.73</v>
      </c>
      <c r="AU32" s="1">
        <f ca="1">VLOOKUP(A32,INDIRECT('LOCCS Import'!$M$3&amp;"$A$3"):INDIRECT('LOCCS Import'!$M$3&amp;"$O$54"),8,)</f>
        <v>0.83</v>
      </c>
      <c r="AV32" s="1">
        <f ca="1">VLOOKUP(A32,INDIRECT('LOCCS Import'!$L$3&amp;"$A$3"):INDIRECT('LOCCS Import'!$L$3&amp;"$O$54"),8,)</f>
        <v>0.72</v>
      </c>
      <c r="AW32" s="1">
        <f ca="1">VLOOKUP(A32,INDIRECT('LOCCS Import'!$K$3&amp;"$A$3"):INDIRECT('LOCCS Import'!$K$3&amp;"$O$54"),8,)</f>
        <v>0.83</v>
      </c>
      <c r="AX32" s="1">
        <f ca="1">VLOOKUP(A32,INDIRECT('LOCCS Import'!$J$3&amp;"$A$3"):INDIRECT('LOCCS Import'!$J$3&amp;"$O$54"),8,)</f>
        <v>0.86</v>
      </c>
      <c r="AY32" s="1">
        <f ca="1">VLOOKUP(A32,INDIRECT('LOCCS Import'!$I$3&amp;"$A$3"):INDIRECT('LOCCS Import'!$I$3&amp;"$O$54"),8,)</f>
        <v>0.99</v>
      </c>
      <c r="AZ32" s="1">
        <f ca="1">VLOOKUP(A32,INDIRECT('LOCCS Import'!$H$3&amp;"$A$3"):INDIRECT('LOCCS Import'!$H$3&amp;"$O$54"),8,)</f>
        <v>0.97</v>
      </c>
      <c r="BA32" s="1">
        <f ca="1">VLOOKUP(A32,INDIRECT('LOCCS Import'!$G$3&amp;"$A$3"):INDIRECT('LOCCS Import'!$G$3&amp;"$O$54"),8,)</f>
        <v>0.97</v>
      </c>
      <c r="BB32" s="1">
        <f ca="1">VLOOKUP(A32,INDIRECT('LOCCS Import'!$F$3&amp;"$A$3"):INDIRECT('LOCCS Import'!$F$3&amp;"$O$54"),8,)</f>
        <v>1.0900000000000001</v>
      </c>
      <c r="BC32" s="1">
        <f ca="1">VLOOKUP(A32,INDIRECT('LOCCS Import'!$E$3&amp;"$A$3"):INDIRECT('LOCCS Import'!$E$3&amp;"$O$54"),8,)</f>
        <v>1.04</v>
      </c>
      <c r="BD32" s="2">
        <f>VLOOKUP(A32,template!$A$3:$P$54,8,)</f>
        <v>1.05</v>
      </c>
      <c r="BE32" s="2">
        <f t="shared" ca="1" si="4"/>
        <v>0.89666666666666683</v>
      </c>
      <c r="BF32" s="109">
        <f t="shared" ca="1" si="5"/>
        <v>30</v>
      </c>
    </row>
    <row r="33" spans="1:58" x14ac:dyDescent="0.3">
      <c r="A33" s="64" t="s">
        <v>41</v>
      </c>
      <c r="B33" s="61" t="s">
        <v>167</v>
      </c>
      <c r="C33" s="61" t="s">
        <v>188</v>
      </c>
      <c r="D33" s="57">
        <f ca="1">VLOOKUP(A33,INDIRECT('LOCCS Import'!$AA$3&amp;"$A$3"):INDIRECT('LOCCS Import'!$AA$3&amp;"$O$54"),7,)</f>
        <v>2.97</v>
      </c>
      <c r="E33" s="57">
        <f ca="1">VLOOKUP(A33,INDIRECT('LOCCS Import'!$Z$3&amp;"$A$3"):INDIRECT('LOCCS Import'!$Z$3&amp;"$O$54"),7,)</f>
        <v>2.86</v>
      </c>
      <c r="F33" s="57">
        <f ca="1">VLOOKUP(A33,INDIRECT('LOCCS Import'!$Y$3&amp;"$A$3"):INDIRECT('LOCCS Import'!$Y$3&amp;"$O$54"),7,)</f>
        <v>2.73</v>
      </c>
      <c r="G33" s="57">
        <f ca="1">VLOOKUP(A33,INDIRECT('LOCCS Import'!$X$3&amp;"$A$3"):INDIRECT('LOCCS Import'!$X$3&amp;"$O$54"),7,)</f>
        <v>2.5499999999999998</v>
      </c>
      <c r="H33" s="57">
        <f ca="1">VLOOKUP(A33,INDIRECT('LOCCS Import'!$W$3&amp;"$A$3"):INDIRECT('LOCCS Import'!$W$3&amp;"$O$54"),7,)</f>
        <v>2.5099999999999998</v>
      </c>
      <c r="I33" s="57">
        <f ca="1">VLOOKUP(A33,INDIRECT('LOCCS Import'!$V$3&amp;"$A$3"):INDIRECT('LOCCS Import'!$V$3&amp;"$O$54"),7,)</f>
        <v>3.45</v>
      </c>
      <c r="J33" s="57">
        <f ca="1">VLOOKUP(A33,INDIRECT('LOCCS Import'!$U$3&amp;"$A$3"):INDIRECT('LOCCS Import'!$U$3&amp;"$O$54"),7,)</f>
        <v>3.28</v>
      </c>
      <c r="K33" s="57">
        <f ca="1">VLOOKUP(A33,INDIRECT('LOCCS Import'!$T$3&amp;"$A$3"):INDIRECT('LOCCS Import'!$T$3&amp;"$O$54"),7,)</f>
        <v>3.19</v>
      </c>
      <c r="L33" s="57">
        <f ca="1">VLOOKUP(A33,INDIRECT('LOCCS Import'!$S$3&amp;"$A$3"):INDIRECT('LOCCS Import'!$S$3&amp;"$O$54"),7,)</f>
        <v>3.1</v>
      </c>
      <c r="M33" s="57">
        <f ca="1">VLOOKUP(A33,INDIRECT('LOCCS Import'!$R$3&amp;"$A$3"):INDIRECT('LOCCS Import'!$R$3&amp;"$O$54"),7,)</f>
        <v>3.07</v>
      </c>
      <c r="N33" s="57">
        <f ca="1">VLOOKUP(A33,INDIRECT('LOCCS Import'!$Q$3&amp;"$A$3"):INDIRECT('LOCCS Import'!$Q$3&amp;"$O$54"),7,)</f>
        <v>3.03</v>
      </c>
      <c r="O33" s="57">
        <f ca="1">VLOOKUP(A33,INDIRECT('LOCCS Import'!$P$3&amp;"$A$3"):INDIRECT('LOCCS Import'!$P$3&amp;"$O$54"),7,)</f>
        <v>3.03</v>
      </c>
      <c r="P33" s="57">
        <f ca="1">VLOOKUP(A33,INDIRECT('LOCCS Import'!$O$3&amp;"$A$3"):INDIRECT('LOCCS Import'!$O$3&amp;"$O$54"),7,)</f>
        <v>2.92</v>
      </c>
      <c r="Q33" s="57">
        <f ca="1">VLOOKUP(A33,INDIRECT('LOCCS Import'!$N$3&amp;"$A$3"):INDIRECT('LOCCS Import'!$N$3&amp;"$O$54"),7,)</f>
        <v>2.88</v>
      </c>
      <c r="R33" s="57">
        <f ca="1">VLOOKUP(A33,INDIRECT('LOCCS Import'!$M$3&amp;"$A$3"):INDIRECT('LOCCS Import'!$M$3&amp;"$O$54"),7,)</f>
        <v>2.79</v>
      </c>
      <c r="S33" s="57">
        <f ca="1">VLOOKUP(A33,INDIRECT('LOCCS Import'!$L$3&amp;"$A$3"):INDIRECT('LOCCS Import'!$L$3&amp;"$O$54"),7,)</f>
        <v>2.73</v>
      </c>
      <c r="T33" s="57">
        <f ca="1">VLOOKUP(A33,INDIRECT('LOCCS Import'!$K$3&amp;"$A$3"):INDIRECT('LOCCS Import'!$K$3&amp;"$O$54"),7,)</f>
        <v>3.64</v>
      </c>
      <c r="U33" s="57">
        <f ca="1">VLOOKUP(A33,INDIRECT('LOCCS Import'!$J$3&amp;"$A$3"):INDIRECT('LOCCS Import'!$J$3&amp;"$O$54"),7,)</f>
        <v>3.55</v>
      </c>
      <c r="V33" s="57">
        <f ca="1">VLOOKUP(A33,INDIRECT('LOCCS Import'!$I$3&amp;"$A$3"):INDIRECT('LOCCS Import'!$I$3&amp;"$O$54"),7,)</f>
        <v>3.47</v>
      </c>
      <c r="W33" s="57">
        <f ca="1">VLOOKUP(A33,INDIRECT('LOCCS Import'!$H$3&amp;"$A$3"):INDIRECT('LOCCS Import'!$H$3&amp;"$O$54"),7,)</f>
        <v>3.37</v>
      </c>
      <c r="X33" s="57">
        <f ca="1">VLOOKUP(A33,INDIRECT('LOCCS Import'!$G$3&amp;"$A$3"):INDIRECT('LOCCS Import'!$G$3&amp;"$O$54"),7,)</f>
        <v>3.33</v>
      </c>
      <c r="Y33" s="57">
        <f ca="1">VLOOKUP(A33,INDIRECT('LOCCS Import'!$F$3&amp;"$A$3"):INDIRECT('LOCCS Import'!$F$3&amp;"$O$54"),7,)</f>
        <v>3.26</v>
      </c>
      <c r="Z33" s="57">
        <f ca="1">VLOOKUP(A33,INDIRECT('LOCCS Import'!$E$3&amp;"$A$3"):INDIRECT('LOCCS Import'!$E$3&amp;"$O$54"),7,)</f>
        <v>3.17</v>
      </c>
      <c r="AA33" s="57">
        <f>VLOOKUP(A33,template!$A$3:$P$54,7,)</f>
        <v>3.12</v>
      </c>
      <c r="AB33" s="55">
        <f t="shared" ca="1" si="0"/>
        <v>3.64</v>
      </c>
      <c r="AC33" s="57">
        <f t="shared" ca="1" si="1"/>
        <v>2.73</v>
      </c>
      <c r="AD33" s="58">
        <f t="shared" ca="1" si="2"/>
        <v>3.1858333333333331</v>
      </c>
      <c r="AE33" s="80">
        <f t="shared" ca="1" si="3"/>
        <v>29</v>
      </c>
      <c r="AF33" s="127"/>
      <c r="AG33" s="3">
        <f ca="1">VLOOKUP(A33,INDIRECT('LOCCS Import'!$AA$3&amp;"$A$3"):INDIRECT('LOCCS Import'!$AA$3&amp;"$O$54"),8,)</f>
        <v>1.26</v>
      </c>
      <c r="AH33" s="1">
        <f ca="1">VLOOKUP(A33,INDIRECT('LOCCS Import'!$Z$3&amp;"$A$3"):INDIRECT('LOCCS Import'!$Z$3&amp;"$O$54"),8,)</f>
        <v>1.28</v>
      </c>
      <c r="AI33" s="1">
        <f ca="1">VLOOKUP(A33,INDIRECT('LOCCS Import'!$Y$3&amp;"$A$3"):INDIRECT('LOCCS Import'!$Y$3&amp;"$O$54"),8,)</f>
        <v>1.32</v>
      </c>
      <c r="AJ33" s="1">
        <f ca="1">VLOOKUP(A33,INDIRECT('LOCCS Import'!$X$3&amp;"$A$3"):INDIRECT('LOCCS Import'!$X$3&amp;"$O$54"),8,)</f>
        <v>1.41</v>
      </c>
      <c r="AK33" s="1">
        <f ca="1">VLOOKUP(A33,INDIRECT('LOCCS Import'!$W$3&amp;"$A$3"):INDIRECT('LOCCS Import'!$W$3&amp;"$O$54"),8,)</f>
        <v>1.32</v>
      </c>
      <c r="AL33" s="1">
        <f ca="1">VLOOKUP(A33,INDIRECT('LOCCS Import'!$V$3&amp;"$A$3"):INDIRECT('LOCCS Import'!$V$3&amp;"$O$54"),8,)</f>
        <v>1.3</v>
      </c>
      <c r="AM33" s="1">
        <f ca="1">VLOOKUP(A33,INDIRECT('LOCCS Import'!$U$3&amp;"$A$3"):INDIRECT('LOCCS Import'!$U$3&amp;"$O$54"),8,)</f>
        <v>1.36</v>
      </c>
      <c r="AN33" s="1">
        <f ca="1">VLOOKUP(A33,INDIRECT('LOCCS Import'!$T$3&amp;"$A$3"):INDIRECT('LOCCS Import'!$T$3&amp;"$O$54"),8,)</f>
        <v>1.31</v>
      </c>
      <c r="AO33" s="1">
        <f ca="1">VLOOKUP(A33,INDIRECT('LOCCS Import'!$S$3&amp;"$A$3"):INDIRECT('LOCCS Import'!$S$3&amp;"$O$54"),8,)</f>
        <v>1.3</v>
      </c>
      <c r="AP33" s="1">
        <f ca="1">VLOOKUP(A33,INDIRECT('LOCCS Import'!$R$3&amp;"$A$3"):INDIRECT('LOCCS Import'!$R$3&amp;"$O$54"),8,)</f>
        <v>1.2</v>
      </c>
      <c r="AQ33" s="1">
        <f ca="1">VLOOKUP(A33,INDIRECT('LOCCS Import'!$Q$3&amp;"$A$3"):INDIRECT('LOCCS Import'!$Q$3&amp;"$O$54"),8,)</f>
        <v>1.1499999999999999</v>
      </c>
      <c r="AR33" s="1">
        <f ca="1">VLOOKUP(A33,INDIRECT('LOCCS Import'!$P$3&amp;"$A$3"):INDIRECT('LOCCS Import'!$P$3&amp;"$O$54"),8,)</f>
        <v>1.1499999999999999</v>
      </c>
      <c r="AS33" s="1">
        <f ca="1">VLOOKUP(A33,INDIRECT('LOCCS Import'!$O$3&amp;"$A$3"):INDIRECT('LOCCS Import'!$O$3&amp;"$O$54"),8,)</f>
        <v>1.05</v>
      </c>
      <c r="AT33" s="1">
        <f ca="1">VLOOKUP(A33,INDIRECT('LOCCS Import'!$N$3&amp;"$A$3"):INDIRECT('LOCCS Import'!$N$3&amp;"$O$54"),8,)</f>
        <v>0.92</v>
      </c>
      <c r="AU33" s="1">
        <f ca="1">VLOOKUP(A33,INDIRECT('LOCCS Import'!$M$3&amp;"$A$3"):INDIRECT('LOCCS Import'!$M$3&amp;"$O$54"),8,)</f>
        <v>0.95</v>
      </c>
      <c r="AV33" s="1">
        <f ca="1">VLOOKUP(A33,INDIRECT('LOCCS Import'!$L$3&amp;"$A$3"):INDIRECT('LOCCS Import'!$L$3&amp;"$O$54"),8,)</f>
        <v>0.81</v>
      </c>
      <c r="AW33" s="1">
        <f ca="1">VLOOKUP(A33,INDIRECT('LOCCS Import'!$K$3&amp;"$A$3"):INDIRECT('LOCCS Import'!$K$3&amp;"$O$54"),8,)</f>
        <v>0.87</v>
      </c>
      <c r="AX33" s="1">
        <f ca="1">VLOOKUP(A33,INDIRECT('LOCCS Import'!$J$3&amp;"$A$3"):INDIRECT('LOCCS Import'!$J$3&amp;"$O$54"),8,)</f>
        <v>0.87</v>
      </c>
      <c r="AY33" s="1">
        <f ca="1">VLOOKUP(A33,INDIRECT('LOCCS Import'!$I$3&amp;"$A$3"):INDIRECT('LOCCS Import'!$I$3&amp;"$O$54"),8,)</f>
        <v>0.8</v>
      </c>
      <c r="AZ33" s="1">
        <f ca="1">VLOOKUP(A33,INDIRECT('LOCCS Import'!$H$3&amp;"$A$3"):INDIRECT('LOCCS Import'!$H$3&amp;"$O$54"),8,)</f>
        <v>0.81</v>
      </c>
      <c r="BA33" s="1">
        <f ca="1">VLOOKUP(A33,INDIRECT('LOCCS Import'!$G$3&amp;"$A$3"):INDIRECT('LOCCS Import'!$G$3&amp;"$O$54"),8,)</f>
        <v>0.76</v>
      </c>
      <c r="BB33" s="1">
        <f ca="1">VLOOKUP(A33,INDIRECT('LOCCS Import'!$F$3&amp;"$A$3"):INDIRECT('LOCCS Import'!$F$3&amp;"$O$54"),8,)</f>
        <v>0.79</v>
      </c>
      <c r="BC33" s="1">
        <f ca="1">VLOOKUP(A33,INDIRECT('LOCCS Import'!$E$3&amp;"$A$3"):INDIRECT('LOCCS Import'!$E$3&amp;"$O$54"),8,)</f>
        <v>0.84</v>
      </c>
      <c r="BD33" s="2">
        <f>VLOOKUP(A33,template!$A$3:$P$54,8,)</f>
        <v>0.86</v>
      </c>
      <c r="BE33" s="2">
        <f t="shared" ca="1" si="4"/>
        <v>0.86083333333333323</v>
      </c>
      <c r="BF33" s="109">
        <f t="shared" ca="1" si="5"/>
        <v>35</v>
      </c>
    </row>
    <row r="34" spans="1:58" x14ac:dyDescent="0.3">
      <c r="A34" s="64" t="s">
        <v>21</v>
      </c>
      <c r="B34" s="61" t="s">
        <v>167</v>
      </c>
      <c r="C34" s="61" t="s">
        <v>189</v>
      </c>
      <c r="D34" s="57">
        <f ca="1">VLOOKUP(A34,INDIRECT('LOCCS Import'!$AA$3&amp;"$A$3"):INDIRECT('LOCCS Import'!$AA$3&amp;"$O$54"),7,)</f>
        <v>5.07</v>
      </c>
      <c r="E34" s="57">
        <f ca="1">VLOOKUP(A34,INDIRECT('LOCCS Import'!$Z$3&amp;"$A$3"):INDIRECT('LOCCS Import'!$Z$3&amp;"$O$54"),7,)</f>
        <v>4.99</v>
      </c>
      <c r="F34" s="57">
        <f ca="1">VLOOKUP(A34,INDIRECT('LOCCS Import'!$Y$3&amp;"$A$3"):INDIRECT('LOCCS Import'!$Y$3&amp;"$O$54"),7,)</f>
        <v>4.93</v>
      </c>
      <c r="G34" s="57">
        <f ca="1">VLOOKUP(A34,INDIRECT('LOCCS Import'!$X$3&amp;"$A$3"):INDIRECT('LOCCS Import'!$X$3&amp;"$O$54"),7,)</f>
        <v>4.8099999999999996</v>
      </c>
      <c r="H34" s="57">
        <f ca="1">VLOOKUP(A34,INDIRECT('LOCCS Import'!$W$3&amp;"$A$3"):INDIRECT('LOCCS Import'!$W$3&amp;"$O$54"),7,)</f>
        <v>5.72</v>
      </c>
      <c r="I34" s="57">
        <f ca="1">VLOOKUP(A34,INDIRECT('LOCCS Import'!$V$3&amp;"$A$3"):INDIRECT('LOCCS Import'!$V$3&amp;"$O$54"),7,)</f>
        <v>5.69</v>
      </c>
      <c r="J34" s="57">
        <f ca="1">VLOOKUP(A34,INDIRECT('LOCCS Import'!$U$3&amp;"$A$3"):INDIRECT('LOCCS Import'!$U$3&amp;"$O$54"),7,)</f>
        <v>5.64</v>
      </c>
      <c r="K34" s="57">
        <f ca="1">VLOOKUP(A34,INDIRECT('LOCCS Import'!$T$3&amp;"$A$3"):INDIRECT('LOCCS Import'!$T$3&amp;"$O$54"),7,)</f>
        <v>5.6</v>
      </c>
      <c r="L34" s="57">
        <f ca="1">VLOOKUP(A34,INDIRECT('LOCCS Import'!$S$3&amp;"$A$3"):INDIRECT('LOCCS Import'!$S$3&amp;"$O$54"),7,)</f>
        <v>5.5</v>
      </c>
      <c r="M34" s="57">
        <f ca="1">VLOOKUP(A34,INDIRECT('LOCCS Import'!$R$3&amp;"$A$3"):INDIRECT('LOCCS Import'!$R$3&amp;"$O$54"),7,)</f>
        <v>5.46</v>
      </c>
      <c r="N34" s="57">
        <f ca="1">VLOOKUP(A34,INDIRECT('LOCCS Import'!$Q$3&amp;"$A$3"):INDIRECT('LOCCS Import'!$Q$3&amp;"$O$54"),7,)</f>
        <v>5.32</v>
      </c>
      <c r="O34" s="57">
        <f ca="1">VLOOKUP(A34,INDIRECT('LOCCS Import'!$P$3&amp;"$A$3"):INDIRECT('LOCCS Import'!$P$3&amp;"$O$54"),7,)</f>
        <v>5.32</v>
      </c>
      <c r="P34" s="57">
        <f ca="1">VLOOKUP(A34,INDIRECT('LOCCS Import'!$O$3&amp;"$A$3"):INDIRECT('LOCCS Import'!$O$3&amp;"$O$54"),7,)</f>
        <v>5.24</v>
      </c>
      <c r="Q34" s="57">
        <f ca="1">VLOOKUP(A34,INDIRECT('LOCCS Import'!$N$3&amp;"$A$3"):INDIRECT('LOCCS Import'!$N$3&amp;"$O$54"),7,)</f>
        <v>5.13</v>
      </c>
      <c r="R34" s="57">
        <f ca="1">VLOOKUP(A34,INDIRECT('LOCCS Import'!$M$3&amp;"$A$3"):INDIRECT('LOCCS Import'!$M$3&amp;"$O$54"),7,)</f>
        <v>5.01</v>
      </c>
      <c r="S34" s="57">
        <f ca="1">VLOOKUP(A34,INDIRECT('LOCCS Import'!$L$3&amp;"$A$3"):INDIRECT('LOCCS Import'!$L$3&amp;"$O$54"),7,)</f>
        <v>4.88</v>
      </c>
      <c r="T34" s="57">
        <f ca="1">VLOOKUP(A34,INDIRECT('LOCCS Import'!$K$3&amp;"$A$3"):INDIRECT('LOCCS Import'!$K$3&amp;"$O$54"),7,)</f>
        <v>5.79</v>
      </c>
      <c r="U34" s="57">
        <f ca="1">VLOOKUP(A34,INDIRECT('LOCCS Import'!$J$3&amp;"$A$3"):INDIRECT('LOCCS Import'!$J$3&amp;"$O$54"),7,)</f>
        <v>5.74</v>
      </c>
      <c r="V34" s="57">
        <f ca="1">VLOOKUP(A34,INDIRECT('LOCCS Import'!$I$3&amp;"$A$3"):INDIRECT('LOCCS Import'!$I$3&amp;"$O$54"),7,)</f>
        <v>5.69</v>
      </c>
      <c r="W34" s="57">
        <f ca="1">VLOOKUP(A34,INDIRECT('LOCCS Import'!$H$3&amp;"$A$3"):INDIRECT('LOCCS Import'!$H$3&amp;"$O$54"),7,)</f>
        <v>5.63</v>
      </c>
      <c r="X34" s="57">
        <f ca="1">VLOOKUP(A34,INDIRECT('LOCCS Import'!$G$3&amp;"$A$3"):INDIRECT('LOCCS Import'!$G$3&amp;"$O$54"),7,)</f>
        <v>5.6</v>
      </c>
      <c r="Y34" s="57">
        <f ca="1">VLOOKUP(A34,INDIRECT('LOCCS Import'!$F$3&amp;"$A$3"):INDIRECT('LOCCS Import'!$F$3&amp;"$O$54"),7,)</f>
        <v>5.58</v>
      </c>
      <c r="Z34" s="57">
        <f ca="1">VLOOKUP(A34,INDIRECT('LOCCS Import'!$E$3&amp;"$A$3"):INDIRECT('LOCCS Import'!$E$3&amp;"$O$54"),7,)</f>
        <v>5.45</v>
      </c>
      <c r="AA34" s="57">
        <f>VLOOKUP(A34,template!$A$3:$P$54,7,)</f>
        <v>5.35</v>
      </c>
      <c r="AB34" s="55">
        <f t="shared" ca="1" si="0"/>
        <v>5.79</v>
      </c>
      <c r="AC34" s="57">
        <f t="shared" ca="1" si="1"/>
        <v>4.88</v>
      </c>
      <c r="AD34" s="58">
        <f t="shared" ca="1" si="2"/>
        <v>5.4241666666666672</v>
      </c>
      <c r="AE34" s="80">
        <f t="shared" ca="1" si="3"/>
        <v>48</v>
      </c>
      <c r="AF34" s="127"/>
      <c r="AG34" s="3">
        <f ca="1">VLOOKUP(A34,INDIRECT('LOCCS Import'!$AA$3&amp;"$A$3"):INDIRECT('LOCCS Import'!$AA$3&amp;"$O$54"),8,)</f>
        <v>0.62</v>
      </c>
      <c r="AH34" s="1">
        <f ca="1">VLOOKUP(A34,INDIRECT('LOCCS Import'!$Z$3&amp;"$A$3"):INDIRECT('LOCCS Import'!$Z$3&amp;"$O$54"),8,)</f>
        <v>0.67</v>
      </c>
      <c r="AI34" s="1">
        <f ca="1">VLOOKUP(A34,INDIRECT('LOCCS Import'!$Y$3&amp;"$A$3"):INDIRECT('LOCCS Import'!$Y$3&amp;"$O$54"),8,)</f>
        <v>0.66</v>
      </c>
      <c r="AJ34" s="1">
        <f ca="1">VLOOKUP(A34,INDIRECT('LOCCS Import'!$X$3&amp;"$A$3"):INDIRECT('LOCCS Import'!$X$3&amp;"$O$54"),8,)</f>
        <v>0.71</v>
      </c>
      <c r="AK34" s="1">
        <f ca="1">VLOOKUP(A34,INDIRECT('LOCCS Import'!$W$3&amp;"$A$3"):INDIRECT('LOCCS Import'!$W$3&amp;"$O$54"),8,)</f>
        <v>0.72</v>
      </c>
      <c r="AL34" s="1">
        <f ca="1">VLOOKUP(A34,INDIRECT('LOCCS Import'!$V$3&amp;"$A$3"):INDIRECT('LOCCS Import'!$V$3&amp;"$O$54"),8,)</f>
        <v>0.69</v>
      </c>
      <c r="AM34" s="1">
        <f ca="1">VLOOKUP(A34,INDIRECT('LOCCS Import'!$U$3&amp;"$A$3"):INDIRECT('LOCCS Import'!$U$3&amp;"$O$54"),8,)</f>
        <v>0.7</v>
      </c>
      <c r="AN34" s="1">
        <f ca="1">VLOOKUP(A34,INDIRECT('LOCCS Import'!$T$3&amp;"$A$3"):INDIRECT('LOCCS Import'!$T$3&amp;"$O$54"),8,)</f>
        <v>0.7</v>
      </c>
      <c r="AO34" s="1">
        <f ca="1">VLOOKUP(A34,INDIRECT('LOCCS Import'!$S$3&amp;"$A$3"):INDIRECT('LOCCS Import'!$S$3&amp;"$O$54"),8,)</f>
        <v>0.78</v>
      </c>
      <c r="AP34" s="1">
        <f ca="1">VLOOKUP(A34,INDIRECT('LOCCS Import'!$R$3&amp;"$A$3"):INDIRECT('LOCCS Import'!$R$3&amp;"$O$54"),8,)</f>
        <v>0.77</v>
      </c>
      <c r="AQ34" s="1">
        <f ca="1">VLOOKUP(A34,INDIRECT('LOCCS Import'!$Q$3&amp;"$A$3"):INDIRECT('LOCCS Import'!$Q$3&amp;"$O$54"),8,)</f>
        <v>0.86</v>
      </c>
      <c r="AR34" s="1">
        <f ca="1">VLOOKUP(A34,INDIRECT('LOCCS Import'!$P$3&amp;"$A$3"):INDIRECT('LOCCS Import'!$P$3&amp;"$O$54"),8,)</f>
        <v>0.86</v>
      </c>
      <c r="AS34" s="1">
        <f ca="1">VLOOKUP(A34,INDIRECT('LOCCS Import'!$O$3&amp;"$A$3"):INDIRECT('LOCCS Import'!$O$3&amp;"$O$54"),8,)</f>
        <v>0.84</v>
      </c>
      <c r="AT34" s="1">
        <f ca="1">VLOOKUP(A34,INDIRECT('LOCCS Import'!$N$3&amp;"$A$3"):INDIRECT('LOCCS Import'!$N$3&amp;"$O$54"),8,)</f>
        <v>0.88</v>
      </c>
      <c r="AU34" s="1">
        <f ca="1">VLOOKUP(A34,INDIRECT('LOCCS Import'!$M$3&amp;"$A$3"):INDIRECT('LOCCS Import'!$M$3&amp;"$O$54"),8,)</f>
        <v>0.94</v>
      </c>
      <c r="AV34" s="1">
        <f ca="1">VLOOKUP(A34,INDIRECT('LOCCS Import'!$L$3&amp;"$A$3"):INDIRECT('LOCCS Import'!$L$3&amp;"$O$54"),8,)</f>
        <v>0.95</v>
      </c>
      <c r="AW34" s="1">
        <f ca="1">VLOOKUP(A34,INDIRECT('LOCCS Import'!$K$3&amp;"$A$3"):INDIRECT('LOCCS Import'!$K$3&amp;"$O$54"),8,)</f>
        <v>0.96</v>
      </c>
      <c r="AX34" s="1">
        <f ca="1">VLOOKUP(A34,INDIRECT('LOCCS Import'!$J$3&amp;"$A$3"):INDIRECT('LOCCS Import'!$J$3&amp;"$O$54"),8,)</f>
        <v>0.97</v>
      </c>
      <c r="AY34" s="1">
        <f ca="1">VLOOKUP(A34,INDIRECT('LOCCS Import'!$I$3&amp;"$A$3"):INDIRECT('LOCCS Import'!$I$3&amp;"$O$54"),8,)</f>
        <v>0.98</v>
      </c>
      <c r="AZ34" s="1">
        <f ca="1">VLOOKUP(A34,INDIRECT('LOCCS Import'!$H$3&amp;"$A$3"):INDIRECT('LOCCS Import'!$H$3&amp;"$O$54"),8,)</f>
        <v>0.99</v>
      </c>
      <c r="BA34" s="1">
        <f ca="1">VLOOKUP(A34,INDIRECT('LOCCS Import'!$G$3&amp;"$A$3"):INDIRECT('LOCCS Import'!$G$3&amp;"$O$54"),8,)</f>
        <v>0.93</v>
      </c>
      <c r="BB34" s="1">
        <f ca="1">VLOOKUP(A34,INDIRECT('LOCCS Import'!$F$3&amp;"$A$3"):INDIRECT('LOCCS Import'!$F$3&amp;"$O$54"),8,)</f>
        <v>0.9</v>
      </c>
      <c r="BC34" s="1">
        <f ca="1">VLOOKUP(A34,INDIRECT('LOCCS Import'!$E$3&amp;"$A$3"):INDIRECT('LOCCS Import'!$E$3&amp;"$O$54"),8,)</f>
        <v>0.89</v>
      </c>
      <c r="BD34" s="2">
        <f>VLOOKUP(A34,template!$A$3:$P$54,8,)</f>
        <v>0.94</v>
      </c>
      <c r="BE34" s="2">
        <f t="shared" ca="1" si="4"/>
        <v>0.93083333333333329</v>
      </c>
      <c r="BF34" s="109">
        <f t="shared" ca="1" si="5"/>
        <v>27</v>
      </c>
    </row>
    <row r="35" spans="1:58" x14ac:dyDescent="0.3">
      <c r="A35" s="64" t="s">
        <v>37</v>
      </c>
      <c r="B35" s="61" t="s">
        <v>155</v>
      </c>
      <c r="C35" s="61" t="s">
        <v>190</v>
      </c>
      <c r="D35" s="57">
        <f ca="1">VLOOKUP(A35,INDIRECT('LOCCS Import'!$AA$3&amp;"$A$3"):INDIRECT('LOCCS Import'!$AA$3&amp;"$O$54"),7,)</f>
        <v>3.37</v>
      </c>
      <c r="E35" s="57">
        <f ca="1">VLOOKUP(A35,INDIRECT('LOCCS Import'!$Z$3&amp;"$A$3"):INDIRECT('LOCCS Import'!$Z$3&amp;"$O$54"),7,)</f>
        <v>3.33</v>
      </c>
      <c r="F35" s="57">
        <f ca="1">VLOOKUP(A35,INDIRECT('LOCCS Import'!$Y$3&amp;"$A$3"):INDIRECT('LOCCS Import'!$Y$3&amp;"$O$54"),7,)</f>
        <v>3.26</v>
      </c>
      <c r="G35" s="57">
        <f ca="1">VLOOKUP(A35,INDIRECT('LOCCS Import'!$X$3&amp;"$A$3"):INDIRECT('LOCCS Import'!$X$3&amp;"$O$54"),7,)</f>
        <v>3.24</v>
      </c>
      <c r="H35" s="57">
        <f ca="1">VLOOKUP(A35,INDIRECT('LOCCS Import'!$W$3&amp;"$A$3"):INDIRECT('LOCCS Import'!$W$3&amp;"$O$54"),7,)</f>
        <v>4.55</v>
      </c>
      <c r="I35" s="57">
        <f ca="1">VLOOKUP(A35,INDIRECT('LOCCS Import'!$V$3&amp;"$A$3"):INDIRECT('LOCCS Import'!$V$3&amp;"$O$54"),7,)</f>
        <v>4.46</v>
      </c>
      <c r="J35" s="57">
        <f ca="1">VLOOKUP(A35,INDIRECT('LOCCS Import'!$U$3&amp;"$A$3"):INDIRECT('LOCCS Import'!$U$3&amp;"$O$54"),7,)</f>
        <v>4.46</v>
      </c>
      <c r="K35" s="57">
        <f ca="1">VLOOKUP(A35,INDIRECT('LOCCS Import'!$T$3&amp;"$A$3"):INDIRECT('LOCCS Import'!$T$3&amp;"$O$54"),7,)</f>
        <v>4.3</v>
      </c>
      <c r="L35" s="57">
        <f ca="1">VLOOKUP(A35,INDIRECT('LOCCS Import'!$S$3&amp;"$A$3"):INDIRECT('LOCCS Import'!$S$3&amp;"$O$54"),7,)</f>
        <v>4.1900000000000004</v>
      </c>
      <c r="M35" s="57">
        <f ca="1">VLOOKUP(A35,INDIRECT('LOCCS Import'!$R$3&amp;"$A$3"):INDIRECT('LOCCS Import'!$R$3&amp;"$O$54"),7,)</f>
        <v>4.05</v>
      </c>
      <c r="N35" s="57">
        <f ca="1">VLOOKUP(A35,INDIRECT('LOCCS Import'!$Q$3&amp;"$A$3"):INDIRECT('LOCCS Import'!$Q$3&amp;"$O$54"),7,)</f>
        <v>4.05</v>
      </c>
      <c r="O35" s="57">
        <f ca="1">VLOOKUP(A35,INDIRECT('LOCCS Import'!$P$3&amp;"$A$3"):INDIRECT('LOCCS Import'!$P$3&amp;"$O$54"),7,)</f>
        <v>4.05</v>
      </c>
      <c r="P35" s="57">
        <f ca="1">VLOOKUP(A35,INDIRECT('LOCCS Import'!$O$3&amp;"$A$3"):INDIRECT('LOCCS Import'!$O$3&amp;"$O$54"),7,)</f>
        <v>3.95</v>
      </c>
      <c r="Q35" s="57">
        <f ca="1">VLOOKUP(A35,INDIRECT('LOCCS Import'!$N$3&amp;"$A$3"):INDIRECT('LOCCS Import'!$N$3&amp;"$O$54"),7,)</f>
        <v>3.89</v>
      </c>
      <c r="R35" s="57">
        <f ca="1">VLOOKUP(A35,INDIRECT('LOCCS Import'!$M$3&amp;"$A$3"):INDIRECT('LOCCS Import'!$M$3&amp;"$O$54"),7,)</f>
        <v>3.88</v>
      </c>
      <c r="S35" s="57">
        <f ca="1">VLOOKUP(A35,INDIRECT('LOCCS Import'!$L$3&amp;"$A$3"):INDIRECT('LOCCS Import'!$L$3&amp;"$O$54"),7,)</f>
        <v>3.88</v>
      </c>
      <c r="T35" s="57">
        <f ca="1">VLOOKUP(A35,INDIRECT('LOCCS Import'!$K$3&amp;"$A$3"):INDIRECT('LOCCS Import'!$K$3&amp;"$O$54"),7,)</f>
        <v>4.79</v>
      </c>
      <c r="U35" s="57">
        <f ca="1">VLOOKUP(A35,INDIRECT('LOCCS Import'!$J$3&amp;"$A$3"):INDIRECT('LOCCS Import'!$J$3&amp;"$O$54"),7,)</f>
        <v>4.4400000000000004</v>
      </c>
      <c r="V35" s="57">
        <f ca="1">VLOOKUP(A35,INDIRECT('LOCCS Import'!$I$3&amp;"$A$3"):INDIRECT('LOCCS Import'!$I$3&amp;"$O$54"),7,)</f>
        <v>4.4400000000000004</v>
      </c>
      <c r="W35" s="57">
        <f ca="1">VLOOKUP(A35,INDIRECT('LOCCS Import'!$H$3&amp;"$A$3"):INDIRECT('LOCCS Import'!$H$3&amp;"$O$54"),7,)</f>
        <v>4.3</v>
      </c>
      <c r="X35" s="57">
        <f ca="1">VLOOKUP(A35,INDIRECT('LOCCS Import'!$G$3&amp;"$A$3"):INDIRECT('LOCCS Import'!$G$3&amp;"$O$54"),7,)</f>
        <v>4.3</v>
      </c>
      <c r="Y35" s="57">
        <f ca="1">VLOOKUP(A35,INDIRECT('LOCCS Import'!$F$3&amp;"$A$3"):INDIRECT('LOCCS Import'!$F$3&amp;"$O$54"),7,)</f>
        <v>3.42</v>
      </c>
      <c r="Z35" s="57">
        <f ca="1">VLOOKUP(A35,INDIRECT('LOCCS Import'!$E$3&amp;"$A$3"):INDIRECT('LOCCS Import'!$E$3&amp;"$O$54"),7,)</f>
        <v>3.35</v>
      </c>
      <c r="AA35" s="57">
        <f>VLOOKUP(A35,template!$A$3:$P$54,7,)</f>
        <v>3.21</v>
      </c>
      <c r="AB35" s="55">
        <f t="shared" ref="AB35:AB53" ca="1" si="6">MAX(P35:AA35)</f>
        <v>4.79</v>
      </c>
      <c r="AC35" s="57">
        <f t="shared" ref="AC35:AC53" ca="1" si="7">MIN(P35:AA35)</f>
        <v>3.21</v>
      </c>
      <c r="AD35" s="58">
        <f t="shared" ref="AD35:AD53" ca="1" si="8">AVERAGE(P35:AA35)</f>
        <v>3.9875000000000003</v>
      </c>
      <c r="AE35" s="80">
        <f t="shared" ref="AE35:AE52" ca="1" si="9">RANK(AD35,AD$3:AD$52,1)</f>
        <v>38</v>
      </c>
      <c r="AF35" s="127"/>
      <c r="AG35" s="3">
        <f ca="1">VLOOKUP(A35,INDIRECT('LOCCS Import'!$AA$3&amp;"$A$3"):INDIRECT('LOCCS Import'!$AA$3&amp;"$O$54"),8,)</f>
        <v>0.53</v>
      </c>
      <c r="AH35" s="1">
        <f ca="1">VLOOKUP(A35,INDIRECT('LOCCS Import'!$Z$3&amp;"$A$3"):INDIRECT('LOCCS Import'!$Z$3&amp;"$O$54"),8,)</f>
        <v>0.56000000000000005</v>
      </c>
      <c r="AI35" s="1">
        <f ca="1">VLOOKUP(A35,INDIRECT('LOCCS Import'!$Y$3&amp;"$A$3"):INDIRECT('LOCCS Import'!$Y$3&amp;"$O$54"),8,)</f>
        <v>0.63</v>
      </c>
      <c r="AJ35" s="1">
        <f ca="1">VLOOKUP(A35,INDIRECT('LOCCS Import'!$X$3&amp;"$A$3"):INDIRECT('LOCCS Import'!$X$3&amp;"$O$54"),8,)</f>
        <v>0.62</v>
      </c>
      <c r="AK35" s="1">
        <f ca="1">VLOOKUP(A35,INDIRECT('LOCCS Import'!$W$3&amp;"$A$3"):INDIRECT('LOCCS Import'!$W$3&amp;"$O$54"),8,)</f>
        <v>0.68</v>
      </c>
      <c r="AL35" s="1">
        <f ca="1">VLOOKUP(A35,INDIRECT('LOCCS Import'!$V$3&amp;"$A$3"):INDIRECT('LOCCS Import'!$V$3&amp;"$O$54"),8,)</f>
        <v>0.66</v>
      </c>
      <c r="AM35" s="1">
        <f ca="1">VLOOKUP(A35,INDIRECT('LOCCS Import'!$U$3&amp;"$A$3"):INDIRECT('LOCCS Import'!$U$3&amp;"$O$54"),8,)</f>
        <v>0.74</v>
      </c>
      <c r="AN35" s="1">
        <f ca="1">VLOOKUP(A35,INDIRECT('LOCCS Import'!$T$3&amp;"$A$3"):INDIRECT('LOCCS Import'!$T$3&amp;"$O$54"),8,)</f>
        <v>0.67</v>
      </c>
      <c r="AO35" s="1">
        <f ca="1">VLOOKUP(A35,INDIRECT('LOCCS Import'!$S$3&amp;"$A$3"):INDIRECT('LOCCS Import'!$S$3&amp;"$O$54"),8,)</f>
        <v>0.75</v>
      </c>
      <c r="AP35" s="1">
        <f ca="1">VLOOKUP(A35,INDIRECT('LOCCS Import'!$R$3&amp;"$A$3"):INDIRECT('LOCCS Import'!$R$3&amp;"$O$54"),8,)</f>
        <v>0.83</v>
      </c>
      <c r="AQ35" s="1">
        <f ca="1">VLOOKUP(A35,INDIRECT('LOCCS Import'!$Q$3&amp;"$A$3"):INDIRECT('LOCCS Import'!$Q$3&amp;"$O$54"),8,)</f>
        <v>0.83</v>
      </c>
      <c r="AR35" s="1">
        <f ca="1">VLOOKUP(A35,INDIRECT('LOCCS Import'!$P$3&amp;"$A$3"):INDIRECT('LOCCS Import'!$P$3&amp;"$O$54"),8,)</f>
        <v>0.83</v>
      </c>
      <c r="AS35" s="1">
        <f ca="1">VLOOKUP(A35,INDIRECT('LOCCS Import'!$O$3&amp;"$A$3"):INDIRECT('LOCCS Import'!$O$3&amp;"$O$54"),8,)</f>
        <v>0.74</v>
      </c>
      <c r="AT35" s="1">
        <f ca="1">VLOOKUP(A35,INDIRECT('LOCCS Import'!$N$3&amp;"$A$3"):INDIRECT('LOCCS Import'!$N$3&amp;"$O$54"),8,)</f>
        <v>0.76</v>
      </c>
      <c r="AU35" s="1">
        <f ca="1">VLOOKUP(A35,INDIRECT('LOCCS Import'!$M$3&amp;"$A$3"):INDIRECT('LOCCS Import'!$M$3&amp;"$O$54"),8,)</f>
        <v>0.69</v>
      </c>
      <c r="AV35" s="1">
        <f ca="1">VLOOKUP(A35,INDIRECT('LOCCS Import'!$L$3&amp;"$A$3"):INDIRECT('LOCCS Import'!$L$3&amp;"$O$54"),8,)</f>
        <v>0.67</v>
      </c>
      <c r="AW35" s="1">
        <f ca="1">VLOOKUP(A35,INDIRECT('LOCCS Import'!$K$3&amp;"$A$3"):INDIRECT('LOCCS Import'!$K$3&amp;"$O$54"),8,)</f>
        <v>0.71</v>
      </c>
      <c r="AX35" s="1">
        <f ca="1">VLOOKUP(A35,INDIRECT('LOCCS Import'!$J$3&amp;"$A$3"):INDIRECT('LOCCS Import'!$J$3&amp;"$O$54"),8,)</f>
        <v>0.97</v>
      </c>
      <c r="AY35" s="1">
        <f ca="1">VLOOKUP(A35,INDIRECT('LOCCS Import'!$I$3&amp;"$A$3"):INDIRECT('LOCCS Import'!$I$3&amp;"$O$54"),8,)</f>
        <v>0.97</v>
      </c>
      <c r="AZ35" s="1">
        <f ca="1">VLOOKUP(A35,INDIRECT('LOCCS Import'!$H$3&amp;"$A$3"):INDIRECT('LOCCS Import'!$H$3&amp;"$O$54"),8,)</f>
        <v>0.95</v>
      </c>
      <c r="BA35" s="1">
        <f ca="1">VLOOKUP(A35,INDIRECT('LOCCS Import'!$G$3&amp;"$A$3"):INDIRECT('LOCCS Import'!$G$3&amp;"$O$54"),8,)</f>
        <v>0.85</v>
      </c>
      <c r="BB35" s="1">
        <f ca="1">VLOOKUP(A35,INDIRECT('LOCCS Import'!$F$3&amp;"$A$3"):INDIRECT('LOCCS Import'!$F$3&amp;"$O$54"),8,)</f>
        <v>1.59</v>
      </c>
      <c r="BC35" s="1">
        <f ca="1">VLOOKUP(A35,INDIRECT('LOCCS Import'!$E$3&amp;"$A$3"):INDIRECT('LOCCS Import'!$E$3&amp;"$O$54"),8,)</f>
        <v>1.66</v>
      </c>
      <c r="BD35" s="2">
        <f>VLOOKUP(A35,template!$A$3:$P$54,8,)</f>
        <v>1.63</v>
      </c>
      <c r="BE35" s="2">
        <f t="shared" ref="BE35:BE53" ca="1" si="10">AVERAGE(AS35:BD35)</f>
        <v>1.0158333333333334</v>
      </c>
      <c r="BF35" s="109">
        <f t="shared" ca="1" si="5"/>
        <v>18</v>
      </c>
    </row>
    <row r="36" spans="1:58" x14ac:dyDescent="0.3">
      <c r="A36" s="64" t="s">
        <v>66</v>
      </c>
      <c r="B36" s="61" t="s">
        <v>157</v>
      </c>
      <c r="C36" s="61" t="s">
        <v>191</v>
      </c>
      <c r="D36" s="55">
        <f ca="1">VLOOKUP(A36,INDIRECT('LOCCS Import'!$AA$3&amp;"$A$3"):INDIRECT('LOCCS Import'!$AA$3&amp;"$O$54"),7,)</f>
        <v>1.82</v>
      </c>
      <c r="E36" s="57">
        <f ca="1">VLOOKUP(A36,INDIRECT('LOCCS Import'!$Z$3&amp;"$A$3"):INDIRECT('LOCCS Import'!$Z$3&amp;"$O$54"),7,)</f>
        <v>1.78</v>
      </c>
      <c r="F36" s="57">
        <f ca="1">VLOOKUP(A36,INDIRECT('LOCCS Import'!$Y$3&amp;"$A$3"):INDIRECT('LOCCS Import'!$Y$3&amp;"$O$54"),7,)</f>
        <v>1.71</v>
      </c>
      <c r="G36" s="57">
        <f ca="1">VLOOKUP(A36,INDIRECT('LOCCS Import'!$X$3&amp;"$A$3"):INDIRECT('LOCCS Import'!$X$3&amp;"$O$54"),7,)</f>
        <v>1.58</v>
      </c>
      <c r="H36" s="57">
        <f ca="1">VLOOKUP(A36,INDIRECT('LOCCS Import'!$W$3&amp;"$A$3"):INDIRECT('LOCCS Import'!$W$3&amp;"$O$54"),7,)</f>
        <v>1.45</v>
      </c>
      <c r="I36" s="57">
        <f ca="1">VLOOKUP(A36,INDIRECT('LOCCS Import'!$V$3&amp;"$A$3"):INDIRECT('LOCCS Import'!$V$3&amp;"$O$54"),7,)</f>
        <v>2.36</v>
      </c>
      <c r="J36" s="57">
        <f ca="1">VLOOKUP(A36,INDIRECT('LOCCS Import'!$U$3&amp;"$A$3"):INDIRECT('LOCCS Import'!$U$3&amp;"$O$54"),7,)</f>
        <v>2.2999999999999998</v>
      </c>
      <c r="K36" s="57">
        <f ca="1">VLOOKUP(A36,INDIRECT('LOCCS Import'!$T$3&amp;"$A$3"):INDIRECT('LOCCS Import'!$T$3&amp;"$O$54"),7,)</f>
        <v>2.2000000000000002</v>
      </c>
      <c r="L36" s="57">
        <f ca="1">VLOOKUP(A36,INDIRECT('LOCCS Import'!$S$3&amp;"$A$3"):INDIRECT('LOCCS Import'!$S$3&amp;"$O$54"),7,)</f>
        <v>2.16</v>
      </c>
      <c r="M36" s="57">
        <f ca="1">VLOOKUP(A36,INDIRECT('LOCCS Import'!$R$3&amp;"$A$3"):INDIRECT('LOCCS Import'!$R$3&amp;"$O$54"),7,)</f>
        <v>2.08</v>
      </c>
      <c r="N36" s="57">
        <f ca="1">VLOOKUP(A36,INDIRECT('LOCCS Import'!$Q$3&amp;"$A$3"):INDIRECT('LOCCS Import'!$Q$3&amp;"$O$54"),7,)</f>
        <v>2.02</v>
      </c>
      <c r="O36" s="57">
        <f ca="1">VLOOKUP(A36,INDIRECT('LOCCS Import'!$P$3&amp;"$A$3"):INDIRECT('LOCCS Import'!$P$3&amp;"$O$54"),7,)</f>
        <v>2.02</v>
      </c>
      <c r="P36" s="57">
        <f ca="1">VLOOKUP(A36,INDIRECT('LOCCS Import'!$O$3&amp;"$A$3"):INDIRECT('LOCCS Import'!$O$3&amp;"$O$54"),7,)</f>
        <v>1.9</v>
      </c>
      <c r="Q36" s="57">
        <f ca="1">VLOOKUP(A36,INDIRECT('LOCCS Import'!$N$3&amp;"$A$3"):INDIRECT('LOCCS Import'!$N$3&amp;"$O$54"),7,)</f>
        <v>1.86</v>
      </c>
      <c r="R36" s="57">
        <f ca="1">VLOOKUP(A36,INDIRECT('LOCCS Import'!$M$3&amp;"$A$3"):INDIRECT('LOCCS Import'!$M$3&amp;"$O$54"),7,)</f>
        <v>1.75</v>
      </c>
      <c r="S36" s="57">
        <f ca="1">VLOOKUP(A36,INDIRECT('LOCCS Import'!$L$3&amp;"$A$3"):INDIRECT('LOCCS Import'!$L$3&amp;"$O$54"),7,)</f>
        <v>1.63</v>
      </c>
      <c r="T36" s="57">
        <f ca="1">VLOOKUP(A36,INDIRECT('LOCCS Import'!$K$3&amp;"$A$3"):INDIRECT('LOCCS Import'!$K$3&amp;"$O$54"),7,)</f>
        <v>2.5299999999999998</v>
      </c>
      <c r="U36" s="57">
        <f ca="1">VLOOKUP(A36,INDIRECT('LOCCS Import'!$J$3&amp;"$A$3"):INDIRECT('LOCCS Import'!$J$3&amp;"$O$54"),7,)</f>
        <v>2.42</v>
      </c>
      <c r="V36" s="57">
        <f ca="1">VLOOKUP(A36,INDIRECT('LOCCS Import'!$I$3&amp;"$A$3"):INDIRECT('LOCCS Import'!$I$3&amp;"$O$54"),7,)</f>
        <v>2.3199999999999998</v>
      </c>
      <c r="W36" s="57">
        <f ca="1">VLOOKUP(A36,INDIRECT('LOCCS Import'!$H$3&amp;"$A$3"):INDIRECT('LOCCS Import'!$H$3&amp;"$O$54"),7,)</f>
        <v>2.2400000000000002</v>
      </c>
      <c r="X36" s="57">
        <f ca="1">VLOOKUP(A36,INDIRECT('LOCCS Import'!$G$3&amp;"$A$3"):INDIRECT('LOCCS Import'!$G$3&amp;"$O$54"),7,)</f>
        <v>2.21</v>
      </c>
      <c r="Y36" s="57">
        <f ca="1">VLOOKUP(A36,INDIRECT('LOCCS Import'!$F$3&amp;"$A$3"):INDIRECT('LOCCS Import'!$F$3&amp;"$O$54"),7,)</f>
        <v>2.13</v>
      </c>
      <c r="Z36" s="57">
        <f ca="1">VLOOKUP(A36,INDIRECT('LOCCS Import'!$E$3&amp;"$A$3"):INDIRECT('LOCCS Import'!$E$3&amp;"$O$54"),7,)</f>
        <v>2.06</v>
      </c>
      <c r="AA36" s="57">
        <f>VLOOKUP(A36,template!$A$3:$P$54,7,)</f>
        <v>2</v>
      </c>
      <c r="AB36" s="55">
        <f t="shared" ca="1" si="6"/>
        <v>2.5299999999999998</v>
      </c>
      <c r="AC36" s="57">
        <f t="shared" ca="1" si="7"/>
        <v>1.63</v>
      </c>
      <c r="AD36" s="58">
        <f t="shared" ca="1" si="8"/>
        <v>2.0874999999999999</v>
      </c>
      <c r="AE36" s="80">
        <f t="shared" ca="1" si="9"/>
        <v>7</v>
      </c>
      <c r="AF36" s="127"/>
      <c r="AG36" s="3">
        <f ca="1">VLOOKUP(A36,INDIRECT('LOCCS Import'!$AA$3&amp;"$A$3"):INDIRECT('LOCCS Import'!$AA$3&amp;"$O$54"),8,)</f>
        <v>1.01</v>
      </c>
      <c r="AH36" s="1">
        <f ca="1">VLOOKUP(A36,INDIRECT('LOCCS Import'!$Z$3&amp;"$A$3"):INDIRECT('LOCCS Import'!$Z$3&amp;"$O$54"),8,)</f>
        <v>0.95</v>
      </c>
      <c r="AI36" s="1">
        <f ca="1">VLOOKUP(A36,INDIRECT('LOCCS Import'!$Y$3&amp;"$A$3"):INDIRECT('LOCCS Import'!$Y$3&amp;"$O$54"),8,)</f>
        <v>0.96</v>
      </c>
      <c r="AJ36" s="1">
        <f ca="1">VLOOKUP(A36,INDIRECT('LOCCS Import'!$X$3&amp;"$A$3"):INDIRECT('LOCCS Import'!$X$3&amp;"$O$54"),8,)</f>
        <v>0.99</v>
      </c>
      <c r="AK36" s="1">
        <f ca="1">VLOOKUP(A36,INDIRECT('LOCCS Import'!$W$3&amp;"$A$3"):INDIRECT('LOCCS Import'!$W$3&amp;"$O$54"),8,)</f>
        <v>0.98</v>
      </c>
      <c r="AL36" s="1">
        <f ca="1">VLOOKUP(A36,INDIRECT('LOCCS Import'!$V$3&amp;"$A$3"):INDIRECT('LOCCS Import'!$V$3&amp;"$O$54"),8,)</f>
        <v>0.97</v>
      </c>
      <c r="AM36" s="1">
        <f ca="1">VLOOKUP(A36,INDIRECT('LOCCS Import'!$U$3&amp;"$A$3"):INDIRECT('LOCCS Import'!$U$3&amp;"$O$54"),8,)</f>
        <v>0.92</v>
      </c>
      <c r="AN36" s="1">
        <f ca="1">VLOOKUP(A36,INDIRECT('LOCCS Import'!$T$3&amp;"$A$3"):INDIRECT('LOCCS Import'!$T$3&amp;"$O$54"),8,)</f>
        <v>0.89</v>
      </c>
      <c r="AO36" s="1">
        <f ca="1">VLOOKUP(A36,INDIRECT('LOCCS Import'!$S$3&amp;"$A$3"):INDIRECT('LOCCS Import'!$S$3&amp;"$O$54"),8,)</f>
        <v>0.9</v>
      </c>
      <c r="AP36" s="1">
        <f ca="1">VLOOKUP(A36,INDIRECT('LOCCS Import'!$R$3&amp;"$A$3"):INDIRECT('LOCCS Import'!$R$3&amp;"$O$54"),8,)</f>
        <v>0.9</v>
      </c>
      <c r="AQ36" s="1">
        <f ca="1">VLOOKUP(A36,INDIRECT('LOCCS Import'!$Q$3&amp;"$A$3"):INDIRECT('LOCCS Import'!$Q$3&amp;"$O$54"),8,)</f>
        <v>0.9</v>
      </c>
      <c r="AR36" s="1">
        <f ca="1">VLOOKUP(A36,INDIRECT('LOCCS Import'!$P$3&amp;"$A$3"):INDIRECT('LOCCS Import'!$P$3&amp;"$O$54"),8,)</f>
        <v>0.9</v>
      </c>
      <c r="AS36" s="1">
        <f ca="1">VLOOKUP(A36,INDIRECT('LOCCS Import'!$O$3&amp;"$A$3"):INDIRECT('LOCCS Import'!$O$3&amp;"$O$54"),8,)</f>
        <v>0.9</v>
      </c>
      <c r="AT36" s="1">
        <f ca="1">VLOOKUP(A36,INDIRECT('LOCCS Import'!$N$3&amp;"$A$3"):INDIRECT('LOCCS Import'!$N$3&amp;"$O$54"),8,)</f>
        <v>0.91</v>
      </c>
      <c r="AU36" s="1">
        <f ca="1">VLOOKUP(A36,INDIRECT('LOCCS Import'!$M$3&amp;"$A$3"):INDIRECT('LOCCS Import'!$M$3&amp;"$O$54"),8,)</f>
        <v>0.95</v>
      </c>
      <c r="AV36" s="1">
        <f ca="1">VLOOKUP(A36,INDIRECT('LOCCS Import'!$L$3&amp;"$A$3"):INDIRECT('LOCCS Import'!$L$3&amp;"$O$54"),8,)</f>
        <v>0.9</v>
      </c>
      <c r="AW36" s="1">
        <f ca="1">VLOOKUP(A36,INDIRECT('LOCCS Import'!$K$3&amp;"$A$3"):INDIRECT('LOCCS Import'!$K$3&amp;"$O$54"),8,)</f>
        <v>0.9</v>
      </c>
      <c r="AX36" s="1">
        <f ca="1">VLOOKUP(A36,INDIRECT('LOCCS Import'!$J$3&amp;"$A$3"):INDIRECT('LOCCS Import'!$J$3&amp;"$O$54"),8,)</f>
        <v>0.91</v>
      </c>
      <c r="AY36" s="1">
        <f ca="1">VLOOKUP(A36,INDIRECT('LOCCS Import'!$I$3&amp;"$A$3"):INDIRECT('LOCCS Import'!$I$3&amp;"$O$54"),8,)</f>
        <v>0.97</v>
      </c>
      <c r="AZ36" s="1">
        <f ca="1">VLOOKUP(A36,INDIRECT('LOCCS Import'!$H$3&amp;"$A$3"):INDIRECT('LOCCS Import'!$H$3&amp;"$O$54"),8,)</f>
        <v>0.95</v>
      </c>
      <c r="BA36" s="1">
        <f ca="1">VLOOKUP(A36,INDIRECT('LOCCS Import'!$G$3&amp;"$A$3"):INDIRECT('LOCCS Import'!$G$3&amp;"$O$54"),8,)</f>
        <v>0.94</v>
      </c>
      <c r="BB36" s="1">
        <f ca="1">VLOOKUP(A36,INDIRECT('LOCCS Import'!$F$3&amp;"$A$3"):INDIRECT('LOCCS Import'!$F$3&amp;"$O$54"),8,)</f>
        <v>0.93</v>
      </c>
      <c r="BC36" s="1">
        <f ca="1">VLOOKUP(A36,INDIRECT('LOCCS Import'!$E$3&amp;"$A$3"):INDIRECT('LOCCS Import'!$E$3&amp;"$O$54"),8,)</f>
        <v>0.95</v>
      </c>
      <c r="BD36" s="2">
        <f>VLOOKUP(A36,template!$A$3:$P$54,8,)</f>
        <v>0.94</v>
      </c>
      <c r="BE36" s="2">
        <f t="shared" ca="1" si="10"/>
        <v>0.92916666666666659</v>
      </c>
      <c r="BF36" s="109">
        <f t="shared" ca="1" si="5"/>
        <v>28</v>
      </c>
    </row>
    <row r="37" spans="1:58" x14ac:dyDescent="0.3">
      <c r="A37" s="64" t="s">
        <v>62</v>
      </c>
      <c r="B37" s="61" t="s">
        <v>155</v>
      </c>
      <c r="C37" s="61" t="s">
        <v>192</v>
      </c>
      <c r="D37" s="55">
        <f ca="1">VLOOKUP(A37,INDIRECT('LOCCS Import'!$AA$3&amp;"$A$3"):INDIRECT('LOCCS Import'!$AA$3&amp;"$O$54"),7,)</f>
        <v>2.13</v>
      </c>
      <c r="E37" s="57">
        <f ca="1">VLOOKUP(A37,INDIRECT('LOCCS Import'!$Z$3&amp;"$A$3"):INDIRECT('LOCCS Import'!$Z$3&amp;"$O$54"),7,)</f>
        <v>2.06</v>
      </c>
      <c r="F37" s="57">
        <f ca="1">VLOOKUP(A37,INDIRECT('LOCCS Import'!$Y$3&amp;"$A$3"):INDIRECT('LOCCS Import'!$Y$3&amp;"$O$54"),7,)</f>
        <v>2.0099999999999998</v>
      </c>
      <c r="G37" s="57">
        <f ca="1">VLOOKUP(A37,INDIRECT('LOCCS Import'!$X$3&amp;"$A$3"):INDIRECT('LOCCS Import'!$X$3&amp;"$O$54"),7,)</f>
        <v>1.81</v>
      </c>
      <c r="H37" s="57">
        <f ca="1">VLOOKUP(A37,INDIRECT('LOCCS Import'!$W$3&amp;"$A$3"):INDIRECT('LOCCS Import'!$W$3&amp;"$O$54"),7,)</f>
        <v>2.75</v>
      </c>
      <c r="I37" s="57">
        <f ca="1">VLOOKUP(A37,INDIRECT('LOCCS Import'!$V$3&amp;"$A$3"):INDIRECT('LOCCS Import'!$V$3&amp;"$O$54"),7,)</f>
        <v>2.4700000000000002</v>
      </c>
      <c r="J37" s="57">
        <f ca="1">VLOOKUP(A37,INDIRECT('LOCCS Import'!$U$3&amp;"$A$3"):INDIRECT('LOCCS Import'!$U$3&amp;"$O$54"),7,)</f>
        <v>2.42</v>
      </c>
      <c r="K37" s="57">
        <f ca="1">VLOOKUP(A37,INDIRECT('LOCCS Import'!$T$3&amp;"$A$3"):INDIRECT('LOCCS Import'!$T$3&amp;"$O$54"),7,)</f>
        <v>2.31</v>
      </c>
      <c r="L37" s="57">
        <f ca="1">VLOOKUP(A37,INDIRECT('LOCCS Import'!$S$3&amp;"$A$3"):INDIRECT('LOCCS Import'!$S$3&amp;"$O$54"),7,)</f>
        <v>2.2000000000000002</v>
      </c>
      <c r="M37" s="57">
        <f ca="1">VLOOKUP(A37,INDIRECT('LOCCS Import'!$R$3&amp;"$A$3"):INDIRECT('LOCCS Import'!$R$3&amp;"$O$54"),7,)</f>
        <v>2.09</v>
      </c>
      <c r="N37" s="57">
        <f ca="1">VLOOKUP(A37,INDIRECT('LOCCS Import'!$Q$3&amp;"$A$3"):INDIRECT('LOCCS Import'!$Q$3&amp;"$O$54"),7,)</f>
        <v>2.04</v>
      </c>
      <c r="O37" s="57">
        <f ca="1">VLOOKUP(A37,INDIRECT('LOCCS Import'!$P$3&amp;"$A$3"):INDIRECT('LOCCS Import'!$P$3&amp;"$O$54"),7,)</f>
        <v>2.04</v>
      </c>
      <c r="P37" s="57">
        <f ca="1">VLOOKUP(A37,INDIRECT('LOCCS Import'!$O$3&amp;"$A$3"):INDIRECT('LOCCS Import'!$O$3&amp;"$O$54"),7,)</f>
        <v>1.93</v>
      </c>
      <c r="Q37" s="57">
        <f ca="1">VLOOKUP(A37,INDIRECT('LOCCS Import'!$N$3&amp;"$A$3"):INDIRECT('LOCCS Import'!$N$3&amp;"$O$54"),7,)</f>
        <v>1.84</v>
      </c>
      <c r="R37" s="57">
        <f ca="1">VLOOKUP(A37,INDIRECT('LOCCS Import'!$M$3&amp;"$A$3"):INDIRECT('LOCCS Import'!$M$3&amp;"$O$54"),7,)</f>
        <v>1.73</v>
      </c>
      <c r="S37" s="57">
        <f ca="1">VLOOKUP(A37,INDIRECT('LOCCS Import'!$L$3&amp;"$A$3"):INDIRECT('LOCCS Import'!$L$3&amp;"$O$54"),7,)</f>
        <v>1.64</v>
      </c>
      <c r="T37" s="57">
        <f ca="1">VLOOKUP(A37,INDIRECT('LOCCS Import'!$K$3&amp;"$A$3"):INDIRECT('LOCCS Import'!$K$3&amp;"$O$54"),7,)</f>
        <v>2.5499999999999998</v>
      </c>
      <c r="U37" s="57">
        <f ca="1">VLOOKUP(A37,INDIRECT('LOCCS Import'!$J$3&amp;"$A$3"):INDIRECT('LOCCS Import'!$J$3&amp;"$O$54"),7,)</f>
        <v>2.48</v>
      </c>
      <c r="V37" s="57">
        <f ca="1">VLOOKUP(A37,INDIRECT('LOCCS Import'!$I$3&amp;"$A$3"):INDIRECT('LOCCS Import'!$I$3&amp;"$O$54"),7,)</f>
        <v>2.44</v>
      </c>
      <c r="W37" s="57">
        <f ca="1">VLOOKUP(A37,INDIRECT('LOCCS Import'!$H$3&amp;"$A$3"):INDIRECT('LOCCS Import'!$H$3&amp;"$O$54"),7,)</f>
        <v>2.33</v>
      </c>
      <c r="X37" s="57">
        <f ca="1">VLOOKUP(A37,INDIRECT('LOCCS Import'!$G$3&amp;"$A$3"):INDIRECT('LOCCS Import'!$G$3&amp;"$O$54"),7,)</f>
        <v>2.2999999999999998</v>
      </c>
      <c r="Y37" s="57">
        <f ca="1">VLOOKUP(A37,INDIRECT('LOCCS Import'!$F$3&amp;"$A$3"):INDIRECT('LOCCS Import'!$F$3&amp;"$O$54"),7,)</f>
        <v>2.17</v>
      </c>
      <c r="Z37" s="57">
        <f ca="1">VLOOKUP(A37,INDIRECT('LOCCS Import'!$E$3&amp;"$A$3"):INDIRECT('LOCCS Import'!$E$3&amp;"$O$54"),7,)</f>
        <v>2.12</v>
      </c>
      <c r="AA37" s="57">
        <f>VLOOKUP(A37,template!$A$3:$P$54,7,)</f>
        <v>2.11</v>
      </c>
      <c r="AB37" s="55">
        <f t="shared" ca="1" si="6"/>
        <v>2.5499999999999998</v>
      </c>
      <c r="AC37" s="57">
        <f t="shared" ca="1" si="7"/>
        <v>1.64</v>
      </c>
      <c r="AD37" s="58">
        <f t="shared" ca="1" si="8"/>
        <v>2.1366666666666663</v>
      </c>
      <c r="AE37" s="80">
        <f t="shared" ca="1" si="9"/>
        <v>8</v>
      </c>
      <c r="AF37" s="127"/>
      <c r="AG37" s="3">
        <f ca="1">VLOOKUP(A37,INDIRECT('LOCCS Import'!$AA$3&amp;"$A$3"):INDIRECT('LOCCS Import'!$AA$3&amp;"$O$54"),8,)</f>
        <v>0.94</v>
      </c>
      <c r="AH37" s="1">
        <f ca="1">VLOOKUP(A37,INDIRECT('LOCCS Import'!$Z$3&amp;"$A$3"):INDIRECT('LOCCS Import'!$Z$3&amp;"$O$54"),8,)</f>
        <v>0.9</v>
      </c>
      <c r="AI37" s="1">
        <f ca="1">VLOOKUP(A37,INDIRECT('LOCCS Import'!$Y$3&amp;"$A$3"):INDIRECT('LOCCS Import'!$Y$3&amp;"$O$54"),8,)</f>
        <v>0.85</v>
      </c>
      <c r="AJ37" s="1">
        <f ca="1">VLOOKUP(A37,INDIRECT('LOCCS Import'!$X$3&amp;"$A$3"):INDIRECT('LOCCS Import'!$X$3&amp;"$O$54"),8,)</f>
        <v>0.92</v>
      </c>
      <c r="AK37" s="1">
        <f ca="1">VLOOKUP(A37,INDIRECT('LOCCS Import'!$W$3&amp;"$A$3"):INDIRECT('LOCCS Import'!$W$3&amp;"$O$54"),8,)</f>
        <v>0.93</v>
      </c>
      <c r="AL37" s="1">
        <f ca="1">VLOOKUP(A37,INDIRECT('LOCCS Import'!$V$3&amp;"$A$3"):INDIRECT('LOCCS Import'!$V$3&amp;"$O$54"),8,)</f>
        <v>1.07</v>
      </c>
      <c r="AM37" s="1">
        <f ca="1">VLOOKUP(A37,INDIRECT('LOCCS Import'!$U$3&amp;"$A$3"):INDIRECT('LOCCS Import'!$U$3&amp;"$O$54"),8,)</f>
        <v>1.1599999999999999</v>
      </c>
      <c r="AN37" s="1">
        <f ca="1">VLOOKUP(A37,INDIRECT('LOCCS Import'!$T$3&amp;"$A$3"):INDIRECT('LOCCS Import'!$T$3&amp;"$O$54"),8,)</f>
        <v>1.05</v>
      </c>
      <c r="AO37" s="1">
        <f ca="1">VLOOKUP(A37,INDIRECT('LOCCS Import'!$S$3&amp;"$A$3"):INDIRECT('LOCCS Import'!$S$3&amp;"$O$54"),8,)</f>
        <v>1.17</v>
      </c>
      <c r="AP37" s="1">
        <f ca="1">VLOOKUP(A37,INDIRECT('LOCCS Import'!$R$3&amp;"$A$3"):INDIRECT('LOCCS Import'!$R$3&amp;"$O$54"),8,)</f>
        <v>1.2</v>
      </c>
      <c r="AQ37" s="1">
        <f ca="1">VLOOKUP(A37,INDIRECT('LOCCS Import'!$Q$3&amp;"$A$3"):INDIRECT('LOCCS Import'!$Q$3&amp;"$O$54"),8,)</f>
        <v>1.2</v>
      </c>
      <c r="AR37" s="1">
        <f ca="1">VLOOKUP(A37,INDIRECT('LOCCS Import'!$P$3&amp;"$A$3"):INDIRECT('LOCCS Import'!$P$3&amp;"$O$54"),8,)</f>
        <v>1.2</v>
      </c>
      <c r="AS37" s="1">
        <f ca="1">VLOOKUP(A37,INDIRECT('LOCCS Import'!$O$3&amp;"$A$3"):INDIRECT('LOCCS Import'!$O$3&amp;"$O$54"),8,)</f>
        <v>1.23</v>
      </c>
      <c r="AT37" s="1">
        <f ca="1">VLOOKUP(A37,INDIRECT('LOCCS Import'!$N$3&amp;"$A$3"):INDIRECT('LOCCS Import'!$N$3&amp;"$O$54"),8,)</f>
        <v>1.23</v>
      </c>
      <c r="AU37" s="1">
        <f ca="1">VLOOKUP(A37,INDIRECT('LOCCS Import'!$M$3&amp;"$A$3"):INDIRECT('LOCCS Import'!$M$3&amp;"$O$54"),8,)</f>
        <v>1.3</v>
      </c>
      <c r="AV37" s="1">
        <f ca="1">VLOOKUP(A37,INDIRECT('LOCCS Import'!$L$3&amp;"$A$3"):INDIRECT('LOCCS Import'!$L$3&amp;"$O$54"),8,)</f>
        <v>1.18</v>
      </c>
      <c r="AW37" s="1">
        <f ca="1">VLOOKUP(A37,INDIRECT('LOCCS Import'!$K$3&amp;"$A$3"):INDIRECT('LOCCS Import'!$K$3&amp;"$O$54"),8,)</f>
        <v>1.18</v>
      </c>
      <c r="AX37" s="1">
        <f ca="1">VLOOKUP(A37,INDIRECT('LOCCS Import'!$J$3&amp;"$A$3"):INDIRECT('LOCCS Import'!$J$3&amp;"$O$54"),8,)</f>
        <v>0.98</v>
      </c>
      <c r="AY37" s="1">
        <f ca="1">VLOOKUP(A37,INDIRECT('LOCCS Import'!$I$3&amp;"$A$3"):INDIRECT('LOCCS Import'!$I$3&amp;"$O$54"),8,)</f>
        <v>0.96</v>
      </c>
      <c r="AZ37" s="1">
        <f ca="1">VLOOKUP(A37,INDIRECT('LOCCS Import'!$H$3&amp;"$A$3"):INDIRECT('LOCCS Import'!$H$3&amp;"$O$54"),8,)</f>
        <v>0.96</v>
      </c>
      <c r="BA37" s="1">
        <f ca="1">VLOOKUP(A37,INDIRECT('LOCCS Import'!$G$3&amp;"$A$3"):INDIRECT('LOCCS Import'!$G$3&amp;"$O$54"),8,)</f>
        <v>0.89</v>
      </c>
      <c r="BB37" s="1">
        <f ca="1">VLOOKUP(A37,INDIRECT('LOCCS Import'!$F$3&amp;"$A$3"):INDIRECT('LOCCS Import'!$F$3&amp;"$O$54"),8,)</f>
        <v>0.9</v>
      </c>
      <c r="BC37" s="1">
        <f ca="1">VLOOKUP(A37,INDIRECT('LOCCS Import'!$E$3&amp;"$A$3"):INDIRECT('LOCCS Import'!$E$3&amp;"$O$54"),8,)</f>
        <v>0.9</v>
      </c>
      <c r="BD37" s="2">
        <f>VLOOKUP(A37,template!$A$3:$P$54,8,)</f>
        <v>0.86</v>
      </c>
      <c r="BE37" s="2">
        <f t="shared" ca="1" si="10"/>
        <v>1.0475000000000001</v>
      </c>
      <c r="BF37" s="109">
        <f t="shared" ca="1" si="5"/>
        <v>17</v>
      </c>
    </row>
    <row r="38" spans="1:58" x14ac:dyDescent="0.3">
      <c r="A38" s="64" t="s">
        <v>48</v>
      </c>
      <c r="B38" s="61" t="s">
        <v>167</v>
      </c>
      <c r="C38" s="61" t="s">
        <v>193</v>
      </c>
      <c r="D38" s="55">
        <f ca="1">VLOOKUP(A38,INDIRECT('LOCCS Import'!$AA$3&amp;"$A$3"):INDIRECT('LOCCS Import'!$AA$3&amp;"$O$54"),7,)</f>
        <v>2.75</v>
      </c>
      <c r="E38" s="57">
        <f ca="1">VLOOKUP(A38,INDIRECT('LOCCS Import'!$Z$3&amp;"$A$3"):INDIRECT('LOCCS Import'!$Z$3&amp;"$O$54"),7,)</f>
        <v>2.4900000000000002</v>
      </c>
      <c r="F38" s="57">
        <f ca="1">VLOOKUP(A38,INDIRECT('LOCCS Import'!$Y$3&amp;"$A$3"):INDIRECT('LOCCS Import'!$Y$3&amp;"$O$54"),7,)</f>
        <v>2.4900000000000002</v>
      </c>
      <c r="G38" s="57">
        <f ca="1">VLOOKUP(A38,INDIRECT('LOCCS Import'!$X$3&amp;"$A$3"):INDIRECT('LOCCS Import'!$X$3&amp;"$O$54"),7,)</f>
        <v>2.19</v>
      </c>
      <c r="H38" s="57">
        <f ca="1">VLOOKUP(A38,INDIRECT('LOCCS Import'!$W$3&amp;"$A$3"):INDIRECT('LOCCS Import'!$W$3&amp;"$O$54"),7,)</f>
        <v>3.04</v>
      </c>
      <c r="I38" s="57">
        <f ca="1">VLOOKUP(A38,INDIRECT('LOCCS Import'!$V$3&amp;"$A$3"):INDIRECT('LOCCS Import'!$V$3&amp;"$O$54"),7,)</f>
        <v>2.86</v>
      </c>
      <c r="J38" s="57">
        <f ca="1">VLOOKUP(A38,INDIRECT('LOCCS Import'!$U$3&amp;"$A$3"):INDIRECT('LOCCS Import'!$U$3&amp;"$O$54"),7,)</f>
        <v>2.82</v>
      </c>
      <c r="K38" s="57">
        <f ca="1">VLOOKUP(A38,INDIRECT('LOCCS Import'!$T$3&amp;"$A$3"):INDIRECT('LOCCS Import'!$T$3&amp;"$O$54"),7,)</f>
        <v>2.8</v>
      </c>
      <c r="L38" s="57">
        <f ca="1">VLOOKUP(A38,INDIRECT('LOCCS Import'!$S$3&amp;"$A$3"):INDIRECT('LOCCS Import'!$S$3&amp;"$O$54"),7,)</f>
        <v>2.68</v>
      </c>
      <c r="M38" s="57">
        <f ca="1">VLOOKUP(A38,INDIRECT('LOCCS Import'!$R$3&amp;"$A$3"):INDIRECT('LOCCS Import'!$R$3&amp;"$O$54"),7,)</f>
        <v>2.58</v>
      </c>
      <c r="N38" s="57">
        <f ca="1">VLOOKUP(A38,INDIRECT('LOCCS Import'!$Q$3&amp;"$A$3"):INDIRECT('LOCCS Import'!$Q$3&amp;"$O$54"),7,)</f>
        <v>2.5499999999999998</v>
      </c>
      <c r="O38" s="57">
        <f ca="1">VLOOKUP(A38,INDIRECT('LOCCS Import'!$P$3&amp;"$A$3"):INDIRECT('LOCCS Import'!$P$3&amp;"$O$54"),7,)</f>
        <v>2.5499999999999998</v>
      </c>
      <c r="P38" s="57">
        <f ca="1">VLOOKUP(A38,INDIRECT('LOCCS Import'!$O$3&amp;"$A$3"):INDIRECT('LOCCS Import'!$O$3&amp;"$O$54"),7,)</f>
        <v>2.36</v>
      </c>
      <c r="Q38" s="57">
        <f ca="1">VLOOKUP(A38,INDIRECT('LOCCS Import'!$N$3&amp;"$A$3"):INDIRECT('LOCCS Import'!$N$3&amp;"$O$54"),7,)</f>
        <v>2.2999999999999998</v>
      </c>
      <c r="R38" s="57">
        <f ca="1">VLOOKUP(A38,INDIRECT('LOCCS Import'!$M$3&amp;"$A$3"):INDIRECT('LOCCS Import'!$M$3&amp;"$O$54"),7,)</f>
        <v>2.13</v>
      </c>
      <c r="S38" s="57">
        <f ca="1">VLOOKUP(A38,INDIRECT('LOCCS Import'!$L$3&amp;"$A$3"):INDIRECT('LOCCS Import'!$L$3&amp;"$O$54"),7,)</f>
        <v>1.94</v>
      </c>
      <c r="T38" s="57">
        <f ca="1">VLOOKUP(A38,INDIRECT('LOCCS Import'!$K$3&amp;"$A$3"):INDIRECT('LOCCS Import'!$K$3&amp;"$O$54"),7,)</f>
        <v>1.86</v>
      </c>
      <c r="U38" s="57">
        <f ca="1">VLOOKUP(A38,INDIRECT('LOCCS Import'!$J$3&amp;"$A$3"):INDIRECT('LOCCS Import'!$J$3&amp;"$O$54"),7,)</f>
        <v>1.53</v>
      </c>
      <c r="V38" s="57">
        <f ca="1">VLOOKUP(A38,INDIRECT('LOCCS Import'!$I$3&amp;"$A$3"):INDIRECT('LOCCS Import'!$I$3&amp;"$O$54"),7,)</f>
        <v>1.38</v>
      </c>
      <c r="W38" s="57">
        <f ca="1">VLOOKUP(A38,INDIRECT('LOCCS Import'!$H$3&amp;"$A$3"):INDIRECT('LOCCS Import'!$H$3&amp;"$O$54"),7,)</f>
        <v>1.33</v>
      </c>
      <c r="X38" s="57">
        <f ca="1">VLOOKUP(A38,INDIRECT('LOCCS Import'!$G$3&amp;"$A$3"):INDIRECT('LOCCS Import'!$G$3&amp;"$O$54"),7,)</f>
        <v>2.27</v>
      </c>
      <c r="Y38" s="57">
        <f ca="1">VLOOKUP(A38,INDIRECT('LOCCS Import'!$F$3&amp;"$A$3"):INDIRECT('LOCCS Import'!$F$3&amp;"$O$54"),7,)</f>
        <v>2.16</v>
      </c>
      <c r="Z38" s="57">
        <f ca="1">VLOOKUP(A38,INDIRECT('LOCCS Import'!$E$3&amp;"$A$3"):INDIRECT('LOCCS Import'!$E$3&amp;"$O$54"),7,)</f>
        <v>2.1</v>
      </c>
      <c r="AA38" s="57">
        <f>VLOOKUP(A38,template!$A$3:$P$54,7,)</f>
        <v>2.09</v>
      </c>
      <c r="AB38" s="55">
        <f t="shared" ca="1" si="6"/>
        <v>2.36</v>
      </c>
      <c r="AC38" s="57">
        <f t="shared" ca="1" si="7"/>
        <v>1.33</v>
      </c>
      <c r="AD38" s="58">
        <f t="shared" ca="1" si="8"/>
        <v>1.9541666666666668</v>
      </c>
      <c r="AE38" s="80">
        <f t="shared" ca="1" si="9"/>
        <v>5</v>
      </c>
      <c r="AF38" s="127"/>
      <c r="AG38" s="3">
        <f ca="1">VLOOKUP(A38,INDIRECT('LOCCS Import'!$AA$3&amp;"$A$3"):INDIRECT('LOCCS Import'!$AA$3&amp;"$O$54"),8,)</f>
        <v>1.42</v>
      </c>
      <c r="AH38" s="1">
        <f ca="1">VLOOKUP(A38,INDIRECT('LOCCS Import'!$Z$3&amp;"$A$3"):INDIRECT('LOCCS Import'!$Z$3&amp;"$O$54"),8,)</f>
        <v>1.56</v>
      </c>
      <c r="AI38" s="1">
        <f ca="1">VLOOKUP(A38,INDIRECT('LOCCS Import'!$Y$3&amp;"$A$3"):INDIRECT('LOCCS Import'!$Y$3&amp;"$O$54"),8,)</f>
        <v>1.51</v>
      </c>
      <c r="AJ38" s="1">
        <f ca="1">VLOOKUP(A38,INDIRECT('LOCCS Import'!$X$3&amp;"$A$3"):INDIRECT('LOCCS Import'!$X$3&amp;"$O$54"),8,)</f>
        <v>1.57</v>
      </c>
      <c r="AK38" s="1">
        <f ca="1">VLOOKUP(A38,INDIRECT('LOCCS Import'!$W$3&amp;"$A$3"):INDIRECT('LOCCS Import'!$W$3&amp;"$O$54"),8,)</f>
        <v>1.47</v>
      </c>
      <c r="AL38" s="1">
        <f ca="1">VLOOKUP(A38,INDIRECT('LOCCS Import'!$V$3&amp;"$A$3"):INDIRECT('LOCCS Import'!$V$3&amp;"$O$54"),8,)</f>
        <v>1.49</v>
      </c>
      <c r="AM38" s="1">
        <f ca="1">VLOOKUP(A38,INDIRECT('LOCCS Import'!$U$3&amp;"$A$3"):INDIRECT('LOCCS Import'!$U$3&amp;"$O$54"),8,)</f>
        <v>1.45</v>
      </c>
      <c r="AN38" s="1">
        <f ca="1">VLOOKUP(A38,INDIRECT('LOCCS Import'!$T$3&amp;"$A$3"):INDIRECT('LOCCS Import'!$T$3&amp;"$O$54"),8,)</f>
        <v>1.38</v>
      </c>
      <c r="AO38" s="1">
        <f ca="1">VLOOKUP(A38,INDIRECT('LOCCS Import'!$S$3&amp;"$A$3"):INDIRECT('LOCCS Import'!$S$3&amp;"$O$54"),8,)</f>
        <v>1.39</v>
      </c>
      <c r="AP38" s="1">
        <f ca="1">VLOOKUP(A38,INDIRECT('LOCCS Import'!$R$3&amp;"$A$3"):INDIRECT('LOCCS Import'!$R$3&amp;"$O$54"),8,)</f>
        <v>1.4</v>
      </c>
      <c r="AQ38" s="1">
        <f ca="1">VLOOKUP(A38,INDIRECT('LOCCS Import'!$Q$3&amp;"$A$3"):INDIRECT('LOCCS Import'!$Q$3&amp;"$O$54"),8,)</f>
        <v>1.32</v>
      </c>
      <c r="AR38" s="1">
        <f ca="1">VLOOKUP(A38,INDIRECT('LOCCS Import'!$P$3&amp;"$A$3"):INDIRECT('LOCCS Import'!$P$3&amp;"$O$54"),8,)</f>
        <v>1.32</v>
      </c>
      <c r="AS38" s="1">
        <f ca="1">VLOOKUP(A38,INDIRECT('LOCCS Import'!$O$3&amp;"$A$3"):INDIRECT('LOCCS Import'!$O$3&amp;"$O$54"),8,)</f>
        <v>1.36</v>
      </c>
      <c r="AT38" s="1">
        <f ca="1">VLOOKUP(A38,INDIRECT('LOCCS Import'!$N$3&amp;"$A$3"):INDIRECT('LOCCS Import'!$N$3&amp;"$O$54"),8,)</f>
        <v>1.1599999999999999</v>
      </c>
      <c r="AU38" s="1">
        <f ca="1">VLOOKUP(A38,INDIRECT('LOCCS Import'!$M$3&amp;"$A$3"):INDIRECT('LOCCS Import'!$M$3&amp;"$O$54"),8,)</f>
        <v>1.33</v>
      </c>
      <c r="AV38" s="1">
        <f ca="1">VLOOKUP(A38,INDIRECT('LOCCS Import'!$L$3&amp;"$A$3"):INDIRECT('LOCCS Import'!$L$3&amp;"$O$54"),8,)</f>
        <v>1.21</v>
      </c>
      <c r="AW38" s="1">
        <f ca="1">VLOOKUP(A38,INDIRECT('LOCCS Import'!$K$3&amp;"$A$3"):INDIRECT('LOCCS Import'!$K$3&amp;"$O$54"),8,)</f>
        <v>1.18</v>
      </c>
      <c r="AX38" s="1">
        <f ca="1">VLOOKUP(A38,INDIRECT('LOCCS Import'!$J$3&amp;"$A$3"):INDIRECT('LOCCS Import'!$J$3&amp;"$O$54"),8,)</f>
        <v>1.33</v>
      </c>
      <c r="AY38" s="1">
        <f ca="1">VLOOKUP(A38,INDIRECT('LOCCS Import'!$I$3&amp;"$A$3"):INDIRECT('LOCCS Import'!$I$3&amp;"$O$54"),8,)</f>
        <v>1.44</v>
      </c>
      <c r="AZ38" s="1">
        <f ca="1">VLOOKUP(A38,INDIRECT('LOCCS Import'!$H$3&amp;"$A$3"):INDIRECT('LOCCS Import'!$H$3&amp;"$O$54"),8,)</f>
        <v>1.46</v>
      </c>
      <c r="BA38" s="1">
        <f ca="1">VLOOKUP(A38,INDIRECT('LOCCS Import'!$G$3&amp;"$A$3"):INDIRECT('LOCCS Import'!$G$3&amp;"$O$54"),8,)</f>
        <v>1.39</v>
      </c>
      <c r="BB38" s="1">
        <f ca="1">VLOOKUP(A38,INDIRECT('LOCCS Import'!$F$3&amp;"$A$3"):INDIRECT('LOCCS Import'!$F$3&amp;"$O$54"),8,)</f>
        <v>1.4</v>
      </c>
      <c r="BC38" s="1">
        <f ca="1">VLOOKUP(A38,INDIRECT('LOCCS Import'!$E$3&amp;"$A$3"):INDIRECT('LOCCS Import'!$E$3&amp;"$O$54"),8,)</f>
        <v>1.43</v>
      </c>
      <c r="BD38" s="2">
        <f>VLOOKUP(A38,template!$A$3:$P$54,8,)</f>
        <v>1.35</v>
      </c>
      <c r="BE38" s="2">
        <f t="shared" ca="1" si="10"/>
        <v>1.3366666666666667</v>
      </c>
      <c r="BF38" s="109">
        <f t="shared" ca="1" si="5"/>
        <v>5</v>
      </c>
    </row>
    <row r="39" spans="1:58" x14ac:dyDescent="0.3">
      <c r="A39" s="64" t="s">
        <v>45</v>
      </c>
      <c r="B39" s="61" t="s">
        <v>167</v>
      </c>
      <c r="C39" s="61" t="s">
        <v>194</v>
      </c>
      <c r="D39" s="55">
        <f ca="1">VLOOKUP(A39,INDIRECT('LOCCS Import'!$AA$3&amp;"$A$3"):INDIRECT('LOCCS Import'!$AA$3&amp;"$O$54"),7,)</f>
        <v>2.91</v>
      </c>
      <c r="E39" s="57">
        <f ca="1">VLOOKUP(A39,INDIRECT('LOCCS Import'!$Z$3&amp;"$A$3"):INDIRECT('LOCCS Import'!$Z$3&amp;"$O$54"),7,)</f>
        <v>2.85</v>
      </c>
      <c r="F39" s="57">
        <f ca="1">VLOOKUP(A39,INDIRECT('LOCCS Import'!$Y$3&amp;"$A$3"):INDIRECT('LOCCS Import'!$Y$3&amp;"$O$54"),7,)</f>
        <v>2.78</v>
      </c>
      <c r="G39" s="57">
        <f ca="1">VLOOKUP(A39,INDIRECT('LOCCS Import'!$X$3&amp;"$A$3"):INDIRECT('LOCCS Import'!$X$3&amp;"$O$54"),7,)</f>
        <v>2.7</v>
      </c>
      <c r="H39" s="57">
        <f ca="1">VLOOKUP(A39,INDIRECT('LOCCS Import'!$W$3&amp;"$A$3"):INDIRECT('LOCCS Import'!$W$3&amp;"$O$54"),7,)</f>
        <v>2.61</v>
      </c>
      <c r="I39" s="57">
        <f ca="1">VLOOKUP(A39,INDIRECT('LOCCS Import'!$V$3&amp;"$A$3"):INDIRECT('LOCCS Import'!$V$3&amp;"$O$54"),7,)</f>
        <v>3.49</v>
      </c>
      <c r="J39" s="57">
        <f ca="1">VLOOKUP(A39,INDIRECT('LOCCS Import'!$U$3&amp;"$A$3"):INDIRECT('LOCCS Import'!$U$3&amp;"$O$54"),7,)</f>
        <v>3.39</v>
      </c>
      <c r="K39" s="57">
        <f ca="1">VLOOKUP(A39,INDIRECT('LOCCS Import'!$T$3&amp;"$A$3"):INDIRECT('LOCCS Import'!$T$3&amp;"$O$54"),7,)</f>
        <v>3.3</v>
      </c>
      <c r="L39" s="57">
        <f ca="1">VLOOKUP(A39,INDIRECT('LOCCS Import'!$S$3&amp;"$A$3"):INDIRECT('LOCCS Import'!$S$3&amp;"$O$54"),7,)</f>
        <v>3.22</v>
      </c>
      <c r="M39" s="57">
        <f ca="1">VLOOKUP(A39,INDIRECT('LOCCS Import'!$R$3&amp;"$A$3"):INDIRECT('LOCCS Import'!$R$3&amp;"$O$54"),7,)</f>
        <v>3.17</v>
      </c>
      <c r="N39" s="57">
        <f ca="1">VLOOKUP(A39,INDIRECT('LOCCS Import'!$Q$3&amp;"$A$3"):INDIRECT('LOCCS Import'!$Q$3&amp;"$O$54"),7,)</f>
        <v>3.12</v>
      </c>
      <c r="O39" s="57">
        <f ca="1">VLOOKUP(A39,INDIRECT('LOCCS Import'!$P$3&amp;"$A$3"):INDIRECT('LOCCS Import'!$P$3&amp;"$O$54"),7,)</f>
        <v>3.12</v>
      </c>
      <c r="P39" s="57">
        <f ca="1">VLOOKUP(A39,INDIRECT('LOCCS Import'!$O$3&amp;"$A$3"):INDIRECT('LOCCS Import'!$O$3&amp;"$O$54"),7,)</f>
        <v>3.01</v>
      </c>
      <c r="Q39" s="57">
        <f ca="1">VLOOKUP(A39,INDIRECT('LOCCS Import'!$N$3&amp;"$A$3"):INDIRECT('LOCCS Import'!$N$3&amp;"$O$54"),7,)</f>
        <v>2.94</v>
      </c>
      <c r="R39" s="57">
        <f ca="1">VLOOKUP(A39,INDIRECT('LOCCS Import'!$M$3&amp;"$A$3"):INDIRECT('LOCCS Import'!$M$3&amp;"$O$54"),7,)</f>
        <v>2.86</v>
      </c>
      <c r="S39" s="57">
        <f ca="1">VLOOKUP(A39,INDIRECT('LOCCS Import'!$L$3&amp;"$A$3"):INDIRECT('LOCCS Import'!$L$3&amp;"$O$54"),7,)</f>
        <v>2.79</v>
      </c>
      <c r="T39" s="57">
        <f ca="1">VLOOKUP(A39,INDIRECT('LOCCS Import'!$K$3&amp;"$A$3"):INDIRECT('LOCCS Import'!$K$3&amp;"$O$54"),7,)</f>
        <v>3.71</v>
      </c>
      <c r="U39" s="57">
        <f ca="1">VLOOKUP(A39,INDIRECT('LOCCS Import'!$J$3&amp;"$A$3"):INDIRECT('LOCCS Import'!$J$3&amp;"$O$54"),7,)</f>
        <v>3.62</v>
      </c>
      <c r="V39" s="57">
        <f ca="1">VLOOKUP(A39,INDIRECT('LOCCS Import'!$I$3&amp;"$A$3"):INDIRECT('LOCCS Import'!$I$3&amp;"$O$54"),7,)</f>
        <v>3.54</v>
      </c>
      <c r="W39" s="57">
        <f ca="1">VLOOKUP(A39,INDIRECT('LOCCS Import'!$H$3&amp;"$A$3"):INDIRECT('LOCCS Import'!$H$3&amp;"$O$54"),7,)</f>
        <v>3.36</v>
      </c>
      <c r="X39" s="57">
        <f ca="1">VLOOKUP(A39,INDIRECT('LOCCS Import'!$G$3&amp;"$A$3"):INDIRECT('LOCCS Import'!$G$3&amp;"$O$54"),7,)</f>
        <v>3.3</v>
      </c>
      <c r="Y39" s="57">
        <f ca="1">VLOOKUP(A39,INDIRECT('LOCCS Import'!$F$3&amp;"$A$3"):INDIRECT('LOCCS Import'!$F$3&amp;"$O$54"),7,)</f>
        <v>3.17</v>
      </c>
      <c r="Z39" s="57">
        <f ca="1">VLOOKUP(A39,INDIRECT('LOCCS Import'!$E$3&amp;"$A$3"):INDIRECT('LOCCS Import'!$E$3&amp;"$O$54"),7,)</f>
        <v>3.11</v>
      </c>
      <c r="AA39" s="57">
        <f>VLOOKUP(A39,template!$A$3:$P$54,7,)</f>
        <v>3.06</v>
      </c>
      <c r="AB39" s="55">
        <f t="shared" ca="1" si="6"/>
        <v>3.71</v>
      </c>
      <c r="AC39" s="57">
        <f t="shared" ca="1" si="7"/>
        <v>2.79</v>
      </c>
      <c r="AD39" s="58">
        <f t="shared" ca="1" si="8"/>
        <v>3.2058333333333331</v>
      </c>
      <c r="AE39" s="80">
        <f t="shared" ca="1" si="9"/>
        <v>30</v>
      </c>
      <c r="AF39" s="127"/>
      <c r="AG39" s="3">
        <f ca="1">VLOOKUP(A39,INDIRECT('LOCCS Import'!$AA$3&amp;"$A$3"):INDIRECT('LOCCS Import'!$AA$3&amp;"$O$54"),8,)</f>
        <v>0.98</v>
      </c>
      <c r="AH39" s="1">
        <f ca="1">VLOOKUP(A39,INDIRECT('LOCCS Import'!$Z$3&amp;"$A$3"):INDIRECT('LOCCS Import'!$Z$3&amp;"$O$54"),8,)</f>
        <v>0.97</v>
      </c>
      <c r="AI39" s="1">
        <f ca="1">VLOOKUP(A39,INDIRECT('LOCCS Import'!$Y$3&amp;"$A$3"):INDIRECT('LOCCS Import'!$Y$3&amp;"$O$54"),8,)</f>
        <v>1</v>
      </c>
      <c r="AJ39" s="1">
        <f ca="1">VLOOKUP(A39,INDIRECT('LOCCS Import'!$X$3&amp;"$A$3"):INDIRECT('LOCCS Import'!$X$3&amp;"$O$54"),8,)</f>
        <v>0.98</v>
      </c>
      <c r="AK39" s="1">
        <f ca="1">VLOOKUP(A39,INDIRECT('LOCCS Import'!$W$3&amp;"$A$3"):INDIRECT('LOCCS Import'!$W$3&amp;"$O$54"),8,)</f>
        <v>0.95</v>
      </c>
      <c r="AL39" s="1">
        <f ca="1">VLOOKUP(A39,INDIRECT('LOCCS Import'!$V$3&amp;"$A$3"):INDIRECT('LOCCS Import'!$V$3&amp;"$O$54"),8,)</f>
        <v>0.98</v>
      </c>
      <c r="AM39" s="1">
        <f ca="1">VLOOKUP(A39,INDIRECT('LOCCS Import'!$U$3&amp;"$A$3"):INDIRECT('LOCCS Import'!$U$3&amp;"$O$54"),8,)</f>
        <v>0.98</v>
      </c>
      <c r="AN39" s="1">
        <f ca="1">VLOOKUP(A39,INDIRECT('LOCCS Import'!$T$3&amp;"$A$3"):INDIRECT('LOCCS Import'!$T$3&amp;"$O$54"),8,)</f>
        <v>0.94</v>
      </c>
      <c r="AO39" s="1">
        <f ca="1">VLOOKUP(A39,INDIRECT('LOCCS Import'!$S$3&amp;"$A$3"):INDIRECT('LOCCS Import'!$S$3&amp;"$O$54"),8,)</f>
        <v>0.95</v>
      </c>
      <c r="AP39" s="1">
        <f ca="1">VLOOKUP(A39,INDIRECT('LOCCS Import'!$R$3&amp;"$A$3"):INDIRECT('LOCCS Import'!$R$3&amp;"$O$54"),8,)</f>
        <v>0.94</v>
      </c>
      <c r="AQ39" s="1">
        <f ca="1">VLOOKUP(A39,INDIRECT('LOCCS Import'!$Q$3&amp;"$A$3"):INDIRECT('LOCCS Import'!$Q$3&amp;"$O$54"),8,)</f>
        <v>0.94</v>
      </c>
      <c r="AR39" s="1">
        <f ca="1">VLOOKUP(A39,INDIRECT('LOCCS Import'!$P$3&amp;"$A$3"):INDIRECT('LOCCS Import'!$P$3&amp;"$O$54"),8,)</f>
        <v>0.94</v>
      </c>
      <c r="AS39" s="1">
        <f ca="1">VLOOKUP(A39,INDIRECT('LOCCS Import'!$O$3&amp;"$A$3"):INDIRECT('LOCCS Import'!$O$3&amp;"$O$54"),8,)</f>
        <v>0.93</v>
      </c>
      <c r="AT39" s="1">
        <f ca="1">VLOOKUP(A39,INDIRECT('LOCCS Import'!$N$3&amp;"$A$3"):INDIRECT('LOCCS Import'!$N$3&amp;"$O$54"),8,)</f>
        <v>0.94</v>
      </c>
      <c r="AU39" s="1">
        <f ca="1">VLOOKUP(A39,INDIRECT('LOCCS Import'!$M$3&amp;"$A$3"):INDIRECT('LOCCS Import'!$M$3&amp;"$O$54"),8,)</f>
        <v>0.95</v>
      </c>
      <c r="AV39" s="1">
        <f ca="1">VLOOKUP(A39,INDIRECT('LOCCS Import'!$L$3&amp;"$A$3"):INDIRECT('LOCCS Import'!$L$3&amp;"$O$54"),8,)</f>
        <v>0.92</v>
      </c>
      <c r="AW39" s="1">
        <f ca="1">VLOOKUP(A39,INDIRECT('LOCCS Import'!$K$3&amp;"$A$3"):INDIRECT('LOCCS Import'!$K$3&amp;"$O$54"),8,)</f>
        <v>0.92</v>
      </c>
      <c r="AX39" s="1">
        <f ca="1">VLOOKUP(A39,INDIRECT('LOCCS Import'!$J$3&amp;"$A$3"):INDIRECT('LOCCS Import'!$J$3&amp;"$O$54"),8,)</f>
        <v>0.86</v>
      </c>
      <c r="AY39" s="1">
        <f ca="1">VLOOKUP(A39,INDIRECT('LOCCS Import'!$I$3&amp;"$A$3"):INDIRECT('LOCCS Import'!$I$3&amp;"$O$54"),8,)</f>
        <v>0.85</v>
      </c>
      <c r="AZ39" s="1">
        <f ca="1">VLOOKUP(A39,INDIRECT('LOCCS Import'!$H$3&amp;"$A$3"):INDIRECT('LOCCS Import'!$H$3&amp;"$O$54"),8,)</f>
        <v>0.93</v>
      </c>
      <c r="BA39" s="1">
        <f ca="1">VLOOKUP(A39,INDIRECT('LOCCS Import'!$G$3&amp;"$A$3"):INDIRECT('LOCCS Import'!$G$3&amp;"$O$54"),8,)</f>
        <v>0.92</v>
      </c>
      <c r="BB39" s="1">
        <f ca="1">VLOOKUP(A39,INDIRECT('LOCCS Import'!$F$3&amp;"$A$3"):INDIRECT('LOCCS Import'!$F$3&amp;"$O$54"),8,)</f>
        <v>1</v>
      </c>
      <c r="BC39" s="1">
        <f ca="1">VLOOKUP(A39,INDIRECT('LOCCS Import'!$E$3&amp;"$A$3"):INDIRECT('LOCCS Import'!$E$3&amp;"$O$54"),8,)</f>
        <v>1</v>
      </c>
      <c r="BD39" s="2">
        <f>VLOOKUP(A39,template!$A$3:$P$54,8,)</f>
        <v>1</v>
      </c>
      <c r="BE39" s="2">
        <f t="shared" ca="1" si="10"/>
        <v>0.93500000000000005</v>
      </c>
      <c r="BF39" s="109">
        <f t="shared" ca="1" si="5"/>
        <v>26</v>
      </c>
    </row>
    <row r="40" spans="1:58" x14ac:dyDescent="0.3">
      <c r="A40" s="64" t="s">
        <v>28</v>
      </c>
      <c r="B40" s="61" t="s">
        <v>157</v>
      </c>
      <c r="C40" s="61" t="s">
        <v>195</v>
      </c>
      <c r="D40" s="55">
        <f ca="1">VLOOKUP(A40,INDIRECT('LOCCS Import'!$AA$3&amp;"$A$3"):INDIRECT('LOCCS Import'!$AA$3&amp;"$O$54"),7,)</f>
        <v>3.81</v>
      </c>
      <c r="E40" s="57">
        <f ca="1">VLOOKUP(A40,INDIRECT('LOCCS Import'!$Z$3&amp;"$A$3"):INDIRECT('LOCCS Import'!$Z$3&amp;"$O$54"),7,)</f>
        <v>3.71</v>
      </c>
      <c r="F40" s="57">
        <f ca="1">VLOOKUP(A40,INDIRECT('LOCCS Import'!$Y$3&amp;"$A$3"):INDIRECT('LOCCS Import'!$Y$3&amp;"$O$54"),7,)</f>
        <v>3.58</v>
      </c>
      <c r="G40" s="57">
        <f ca="1">VLOOKUP(A40,INDIRECT('LOCCS Import'!$X$3&amp;"$A$3"):INDIRECT('LOCCS Import'!$X$3&amp;"$O$54"),7,)</f>
        <v>3.53</v>
      </c>
      <c r="H40" s="57">
        <f ca="1">VLOOKUP(A40,INDIRECT('LOCCS Import'!$W$3&amp;"$A$3"):INDIRECT('LOCCS Import'!$W$3&amp;"$O$54"),7,)</f>
        <v>3.41</v>
      </c>
      <c r="I40" s="57">
        <f ca="1">VLOOKUP(A40,INDIRECT('LOCCS Import'!$V$3&amp;"$A$3"):INDIRECT('LOCCS Import'!$V$3&amp;"$O$54"),7,)</f>
        <v>4.4000000000000004</v>
      </c>
      <c r="J40" s="57">
        <f ca="1">VLOOKUP(A40,INDIRECT('LOCCS Import'!$U$3&amp;"$A$3"):INDIRECT('LOCCS Import'!$U$3&amp;"$O$54"),7,)</f>
        <v>4.33</v>
      </c>
      <c r="K40" s="57">
        <f ca="1">VLOOKUP(A40,INDIRECT('LOCCS Import'!$T$3&amp;"$A$3"):INDIRECT('LOCCS Import'!$T$3&amp;"$O$54"),7,)</f>
        <v>4.26</v>
      </c>
      <c r="L40" s="57">
        <f ca="1">VLOOKUP(A40,INDIRECT('LOCCS Import'!$S$3&amp;"$A$3"):INDIRECT('LOCCS Import'!$S$3&amp;"$O$54"),7,)</f>
        <v>4.21</v>
      </c>
      <c r="M40" s="57">
        <f ca="1">VLOOKUP(A40,INDIRECT('LOCCS Import'!$R$3&amp;"$A$3"):INDIRECT('LOCCS Import'!$R$3&amp;"$O$54"),7,)</f>
        <v>4.1399999999999997</v>
      </c>
      <c r="N40" s="57">
        <f ca="1">VLOOKUP(A40,INDIRECT('LOCCS Import'!$Q$3&amp;"$A$3"):INDIRECT('LOCCS Import'!$Q$3&amp;"$O$54"),7,)</f>
        <v>4.09</v>
      </c>
      <c r="O40" s="57">
        <f ca="1">VLOOKUP(A40,INDIRECT('LOCCS Import'!$P$3&amp;"$A$3"):INDIRECT('LOCCS Import'!$P$3&amp;"$O$54"),7,)</f>
        <v>4.09</v>
      </c>
      <c r="P40" s="57">
        <f ca="1">VLOOKUP(A40,INDIRECT('LOCCS Import'!$O$3&amp;"$A$3"):INDIRECT('LOCCS Import'!$O$3&amp;"$O$54"),7,)</f>
        <v>3.88</v>
      </c>
      <c r="Q40" s="57">
        <f ca="1">VLOOKUP(A40,INDIRECT('LOCCS Import'!$N$3&amp;"$A$3"):INDIRECT('LOCCS Import'!$N$3&amp;"$O$54"),7,)</f>
        <v>3.83</v>
      </c>
      <c r="R40" s="57">
        <f ca="1">VLOOKUP(A40,INDIRECT('LOCCS Import'!$M$3&amp;"$A$3"):INDIRECT('LOCCS Import'!$M$3&amp;"$O$54"),7,)</f>
        <v>3.71</v>
      </c>
      <c r="S40" s="57">
        <f ca="1">VLOOKUP(A40,INDIRECT('LOCCS Import'!$L$3&amp;"$A$3"):INDIRECT('LOCCS Import'!$L$3&amp;"$O$54"),7,)</f>
        <v>3.61</v>
      </c>
      <c r="T40" s="57">
        <f ca="1">VLOOKUP(A40,INDIRECT('LOCCS Import'!$K$3&amp;"$A$3"):INDIRECT('LOCCS Import'!$K$3&amp;"$O$54"),7,)</f>
        <v>4.6100000000000003</v>
      </c>
      <c r="U40" s="57">
        <f ca="1">VLOOKUP(A40,INDIRECT('LOCCS Import'!$J$3&amp;"$A$3"):INDIRECT('LOCCS Import'!$J$3&amp;"$O$54"),7,)</f>
        <v>4.4400000000000004</v>
      </c>
      <c r="V40" s="57">
        <f ca="1">VLOOKUP(A40,INDIRECT('LOCCS Import'!$I$3&amp;"$A$3"):INDIRECT('LOCCS Import'!$I$3&amp;"$O$54"),7,)</f>
        <v>4.3899999999999997</v>
      </c>
      <c r="W40" s="57">
        <f ca="1">VLOOKUP(A40,INDIRECT('LOCCS Import'!$H$3&amp;"$A$3"):INDIRECT('LOCCS Import'!$H$3&amp;"$O$54"),7,)</f>
        <v>4.33</v>
      </c>
      <c r="X40" s="57">
        <f ca="1">VLOOKUP(A40,INDIRECT('LOCCS Import'!$G$3&amp;"$A$3"):INDIRECT('LOCCS Import'!$G$3&amp;"$O$54"),7,)</f>
        <v>4.29</v>
      </c>
      <c r="Y40" s="57">
        <f ca="1">VLOOKUP(A40,INDIRECT('LOCCS Import'!$F$3&amp;"$A$3"):INDIRECT('LOCCS Import'!$F$3&amp;"$O$54"),7,)</f>
        <v>4.22</v>
      </c>
      <c r="Z40" s="57">
        <f ca="1">VLOOKUP(A40,INDIRECT('LOCCS Import'!$E$3&amp;"$A$3"):INDIRECT('LOCCS Import'!$E$3&amp;"$O$54"),7,)</f>
        <v>4.13</v>
      </c>
      <c r="AA40" s="57">
        <f>VLOOKUP(A40,template!$A$3:$P$54,7,)</f>
        <v>4.0599999999999996</v>
      </c>
      <c r="AB40" s="55">
        <f t="shared" ca="1" si="6"/>
        <v>4.6100000000000003</v>
      </c>
      <c r="AC40" s="57">
        <f t="shared" ca="1" si="7"/>
        <v>3.61</v>
      </c>
      <c r="AD40" s="58">
        <f t="shared" ca="1" si="8"/>
        <v>4.1250000000000009</v>
      </c>
      <c r="AE40" s="80">
        <f t="shared" ca="1" si="9"/>
        <v>42</v>
      </c>
      <c r="AF40" s="127"/>
      <c r="AG40" s="3">
        <f ca="1">VLOOKUP(A40,INDIRECT('LOCCS Import'!$AA$3&amp;"$A$3"):INDIRECT('LOCCS Import'!$AA$3&amp;"$O$54"),8,)</f>
        <v>1.1100000000000001</v>
      </c>
      <c r="AH40" s="1">
        <f ca="1">VLOOKUP(A40,INDIRECT('LOCCS Import'!$Z$3&amp;"$A$3"):INDIRECT('LOCCS Import'!$Z$3&amp;"$O$54"),8,)</f>
        <v>0.99</v>
      </c>
      <c r="AI40" s="1">
        <f ca="1">VLOOKUP(A40,INDIRECT('LOCCS Import'!$Y$3&amp;"$A$3"):INDIRECT('LOCCS Import'!$Y$3&amp;"$O$54"),8,)</f>
        <v>1.02</v>
      </c>
      <c r="AJ40" s="1">
        <f ca="1">VLOOKUP(A40,INDIRECT('LOCCS Import'!$X$3&amp;"$A$3"):INDIRECT('LOCCS Import'!$X$3&amp;"$O$54"),8,)</f>
        <v>0.98</v>
      </c>
      <c r="AK40" s="1">
        <f ca="1">VLOOKUP(A40,INDIRECT('LOCCS Import'!$W$3&amp;"$A$3"):INDIRECT('LOCCS Import'!$W$3&amp;"$O$54"),8,)</f>
        <v>1.01</v>
      </c>
      <c r="AL40" s="1">
        <f ca="1">VLOOKUP(A40,INDIRECT('LOCCS Import'!$V$3&amp;"$A$3"):INDIRECT('LOCCS Import'!$V$3&amp;"$O$54"),8,)</f>
        <v>1.02</v>
      </c>
      <c r="AM40" s="1">
        <f ca="1">VLOOKUP(A40,INDIRECT('LOCCS Import'!$U$3&amp;"$A$3"):INDIRECT('LOCCS Import'!$U$3&amp;"$O$54"),8,)</f>
        <v>0.98</v>
      </c>
      <c r="AN40" s="1">
        <f ca="1">VLOOKUP(A40,INDIRECT('LOCCS Import'!$T$3&amp;"$A$3"):INDIRECT('LOCCS Import'!$T$3&amp;"$O$54"),8,)</f>
        <v>0.95</v>
      </c>
      <c r="AO40" s="1">
        <f ca="1">VLOOKUP(A40,INDIRECT('LOCCS Import'!$S$3&amp;"$A$3"):INDIRECT('LOCCS Import'!$S$3&amp;"$O$54"),8,)</f>
        <v>0.92</v>
      </c>
      <c r="AP40" s="1">
        <f ca="1">VLOOKUP(A40,INDIRECT('LOCCS Import'!$R$3&amp;"$A$3"):INDIRECT('LOCCS Import'!$R$3&amp;"$O$54"),8,)</f>
        <v>0.98</v>
      </c>
      <c r="AQ40" s="1">
        <f ca="1">VLOOKUP(A40,INDIRECT('LOCCS Import'!$Q$3&amp;"$A$3"):INDIRECT('LOCCS Import'!$Q$3&amp;"$O$54"),8,)</f>
        <v>0.92</v>
      </c>
      <c r="AR40" s="1">
        <f ca="1">VLOOKUP(A40,INDIRECT('LOCCS Import'!$P$3&amp;"$A$3"):INDIRECT('LOCCS Import'!$P$3&amp;"$O$54"),8,)</f>
        <v>0.92</v>
      </c>
      <c r="AS40" s="1">
        <f ca="1">VLOOKUP(A40,INDIRECT('LOCCS Import'!$O$3&amp;"$A$3"):INDIRECT('LOCCS Import'!$O$3&amp;"$O$54"),8,)</f>
        <v>0.98</v>
      </c>
      <c r="AT40" s="1">
        <f ca="1">VLOOKUP(A40,INDIRECT('LOCCS Import'!$N$3&amp;"$A$3"):INDIRECT('LOCCS Import'!$N$3&amp;"$O$54"),8,)</f>
        <v>0.92</v>
      </c>
      <c r="AU40" s="1">
        <f ca="1">VLOOKUP(A40,INDIRECT('LOCCS Import'!$M$3&amp;"$A$3"):INDIRECT('LOCCS Import'!$M$3&amp;"$O$54"),8,)</f>
        <v>0.91</v>
      </c>
      <c r="AV40" s="1">
        <f ca="1">VLOOKUP(A40,INDIRECT('LOCCS Import'!$L$3&amp;"$A$3"):INDIRECT('LOCCS Import'!$L$3&amp;"$O$54"),8,)</f>
        <v>0.91</v>
      </c>
      <c r="AW40" s="1">
        <f ca="1">VLOOKUP(A40,INDIRECT('LOCCS Import'!$K$3&amp;"$A$3"):INDIRECT('LOCCS Import'!$K$3&amp;"$O$54"),8,)</f>
        <v>0.91</v>
      </c>
      <c r="AX40" s="1">
        <f ca="1">VLOOKUP(A40,INDIRECT('LOCCS Import'!$J$3&amp;"$A$3"):INDIRECT('LOCCS Import'!$J$3&amp;"$O$54"),8,)</f>
        <v>1.01</v>
      </c>
      <c r="AY40" s="1">
        <f ca="1">VLOOKUP(A40,INDIRECT('LOCCS Import'!$I$3&amp;"$A$3"):INDIRECT('LOCCS Import'!$I$3&amp;"$O$54"),8,)</f>
        <v>1.01</v>
      </c>
      <c r="AZ40" s="1">
        <f ca="1">VLOOKUP(A40,INDIRECT('LOCCS Import'!$H$3&amp;"$A$3"):INDIRECT('LOCCS Import'!$H$3&amp;"$O$54"),8,)</f>
        <v>1</v>
      </c>
      <c r="BA40" s="1">
        <f ca="1">VLOOKUP(A40,INDIRECT('LOCCS Import'!$G$3&amp;"$A$3"):INDIRECT('LOCCS Import'!$G$3&amp;"$O$54"),8,)</f>
        <v>0.98</v>
      </c>
      <c r="BB40" s="1">
        <f ca="1">VLOOKUP(A40,INDIRECT('LOCCS Import'!$F$3&amp;"$A$3"):INDIRECT('LOCCS Import'!$F$3&amp;"$O$54"),8,)</f>
        <v>0.98</v>
      </c>
      <c r="BC40" s="1">
        <f ca="1">VLOOKUP(A40,INDIRECT('LOCCS Import'!$E$3&amp;"$A$3"):INDIRECT('LOCCS Import'!$E$3&amp;"$O$54"),8,)</f>
        <v>1.01</v>
      </c>
      <c r="BD40" s="2">
        <f>VLOOKUP(A40,template!$A$3:$P$54,8,)</f>
        <v>0.99</v>
      </c>
      <c r="BE40" s="2">
        <f t="shared" ca="1" si="10"/>
        <v>0.96749999999999992</v>
      </c>
      <c r="BF40" s="109">
        <f t="shared" ca="1" si="5"/>
        <v>22</v>
      </c>
    </row>
    <row r="41" spans="1:58" x14ac:dyDescent="0.3">
      <c r="A41" s="64" t="s">
        <v>40</v>
      </c>
      <c r="B41" s="61" t="s">
        <v>157</v>
      </c>
      <c r="C41" s="61" t="s">
        <v>196</v>
      </c>
      <c r="D41" s="55">
        <f ca="1">VLOOKUP(A41,INDIRECT('LOCCS Import'!$AA$3&amp;"$A$3"):INDIRECT('LOCCS Import'!$AA$3&amp;"$O$54"),7,)</f>
        <v>3.09</v>
      </c>
      <c r="E41" s="57">
        <f ca="1">VLOOKUP(A41,INDIRECT('LOCCS Import'!$Z$3&amp;"$A$3"):INDIRECT('LOCCS Import'!$Z$3&amp;"$O$54"),7,)</f>
        <v>3.09</v>
      </c>
      <c r="F41" s="57">
        <f ca="1">VLOOKUP(A41,INDIRECT('LOCCS Import'!$Y$3&amp;"$A$3"):INDIRECT('LOCCS Import'!$Y$3&amp;"$O$54"),7,)</f>
        <v>3</v>
      </c>
      <c r="G41" s="57">
        <f ca="1">VLOOKUP(A41,INDIRECT('LOCCS Import'!$X$3&amp;"$A$3"):INDIRECT('LOCCS Import'!$X$3&amp;"$O$54"),7,)</f>
        <v>0</v>
      </c>
      <c r="H41" s="57">
        <f ca="1">VLOOKUP(A41,INDIRECT('LOCCS Import'!$W$3&amp;"$A$3"):INDIRECT('LOCCS Import'!$W$3&amp;"$O$54"),7,)</f>
        <v>4.84</v>
      </c>
      <c r="I41" s="57">
        <f ca="1">VLOOKUP(A41,INDIRECT('LOCCS Import'!$V$3&amp;"$A$3"):INDIRECT('LOCCS Import'!$V$3&amp;"$O$54"),7,)</f>
        <v>4.84</v>
      </c>
      <c r="J41" s="57">
        <f ca="1">VLOOKUP(A41,INDIRECT('LOCCS Import'!$U$3&amp;"$A$3"):INDIRECT('LOCCS Import'!$U$3&amp;"$O$54"),7,)</f>
        <v>4.84</v>
      </c>
      <c r="K41" s="57">
        <f ca="1">VLOOKUP(A41,INDIRECT('LOCCS Import'!$T$3&amp;"$A$3"):INDIRECT('LOCCS Import'!$T$3&amp;"$O$54"),7,)</f>
        <v>4.83</v>
      </c>
      <c r="L41" s="57">
        <f ca="1">VLOOKUP(A41,INDIRECT('LOCCS Import'!$S$3&amp;"$A$3"):INDIRECT('LOCCS Import'!$S$3&amp;"$O$54"),7,)</f>
        <v>4.2300000000000004</v>
      </c>
      <c r="M41" s="57">
        <f ca="1">VLOOKUP(A41,INDIRECT('LOCCS Import'!$R$3&amp;"$A$3"):INDIRECT('LOCCS Import'!$R$3&amp;"$O$54"),7,)</f>
        <v>4.16</v>
      </c>
      <c r="N41" s="57">
        <f ca="1">VLOOKUP(A41,INDIRECT('LOCCS Import'!$Q$3&amp;"$A$3"):INDIRECT('LOCCS Import'!$Q$3&amp;"$O$54"),7,)</f>
        <v>4.1399999999999997</v>
      </c>
      <c r="O41" s="57">
        <f ca="1">VLOOKUP(A41,INDIRECT('LOCCS Import'!$P$3&amp;"$A$3"):INDIRECT('LOCCS Import'!$P$3&amp;"$O$54"),7,)</f>
        <v>4.1399999999999997</v>
      </c>
      <c r="P41" s="57">
        <f ca="1">VLOOKUP(A41,INDIRECT('LOCCS Import'!$O$3&amp;"$A$3"):INDIRECT('LOCCS Import'!$O$3&amp;"$O$54"),7,)</f>
        <v>3.81</v>
      </c>
      <c r="Q41" s="57">
        <f ca="1">VLOOKUP(A41,INDIRECT('LOCCS Import'!$N$3&amp;"$A$3"):INDIRECT('LOCCS Import'!$N$3&amp;"$O$54"),7,)</f>
        <v>3.79</v>
      </c>
      <c r="R41" s="57">
        <f ca="1">VLOOKUP(A41,INDIRECT('LOCCS Import'!$M$3&amp;"$A$3"):INDIRECT('LOCCS Import'!$M$3&amp;"$O$54"),7,)</f>
        <v>3.5</v>
      </c>
      <c r="S41" s="57">
        <f ca="1">VLOOKUP(A41,INDIRECT('LOCCS Import'!$L$3&amp;"$A$3"):INDIRECT('LOCCS Import'!$L$3&amp;"$O$54"),7,)</f>
        <v>3.5</v>
      </c>
      <c r="T41" s="57">
        <f ca="1">VLOOKUP(A41,INDIRECT('LOCCS Import'!$K$3&amp;"$A$3"):INDIRECT('LOCCS Import'!$K$3&amp;"$O$54"),7,)</f>
        <v>3.16</v>
      </c>
      <c r="U41" s="57">
        <f ca="1">VLOOKUP(A41,INDIRECT('LOCCS Import'!$J$3&amp;"$A$3"):INDIRECT('LOCCS Import'!$J$3&amp;"$O$54"),7,)</f>
        <v>3.16</v>
      </c>
      <c r="V41" s="57">
        <f ca="1">VLOOKUP(A41,INDIRECT('LOCCS Import'!$I$3&amp;"$A$3"):INDIRECT('LOCCS Import'!$I$3&amp;"$O$54"),7,)</f>
        <v>2.93</v>
      </c>
      <c r="W41" s="57">
        <f ca="1">VLOOKUP(A41,INDIRECT('LOCCS Import'!$H$3&amp;"$A$3"):INDIRECT('LOCCS Import'!$H$3&amp;"$O$54"),7,)</f>
        <v>2.93</v>
      </c>
      <c r="X41" s="57">
        <f ca="1">VLOOKUP(A41,INDIRECT('LOCCS Import'!$G$3&amp;"$A$3"):INDIRECT('LOCCS Import'!$G$3&amp;"$O$54"),7,)</f>
        <v>2.93</v>
      </c>
      <c r="Y41" s="57">
        <f ca="1">VLOOKUP(A41,INDIRECT('LOCCS Import'!$F$3&amp;"$A$3"):INDIRECT('LOCCS Import'!$F$3&amp;"$O$54"),7,)</f>
        <v>2.78</v>
      </c>
      <c r="Z41" s="57">
        <f ca="1">VLOOKUP(A41,INDIRECT('LOCCS Import'!$E$3&amp;"$A$3"):INDIRECT('LOCCS Import'!$E$3&amp;"$O$54"),7,)</f>
        <v>3.7</v>
      </c>
      <c r="AA41" s="57">
        <f>VLOOKUP(A41,template!$A$3:$P$54,7,)</f>
        <v>3.7</v>
      </c>
      <c r="AB41" s="55">
        <f t="shared" ca="1" si="6"/>
        <v>3.81</v>
      </c>
      <c r="AC41" s="57">
        <f t="shared" ca="1" si="7"/>
        <v>2.78</v>
      </c>
      <c r="AD41" s="58">
        <f t="shared" ca="1" si="8"/>
        <v>3.3241666666666667</v>
      </c>
      <c r="AE41" s="80">
        <f t="shared" ca="1" si="9"/>
        <v>31</v>
      </c>
      <c r="AF41" s="127"/>
      <c r="AG41" s="3">
        <f ca="1">VLOOKUP(A41,INDIRECT('LOCCS Import'!$AA$3&amp;"$A$3"):INDIRECT('LOCCS Import'!$AA$3&amp;"$O$54"),8,)</f>
        <v>0.82</v>
      </c>
      <c r="AH41" s="1">
        <f ca="1">VLOOKUP(A41,INDIRECT('LOCCS Import'!$Z$3&amp;"$A$3"):INDIRECT('LOCCS Import'!$Z$3&amp;"$O$54"),8,)</f>
        <v>0.79</v>
      </c>
      <c r="AI41" s="1">
        <f ca="1">VLOOKUP(A41,INDIRECT('LOCCS Import'!$Y$3&amp;"$A$3"):INDIRECT('LOCCS Import'!$Y$3&amp;"$O$54"),8,)</f>
        <v>0.88</v>
      </c>
      <c r="AJ41" s="1">
        <f ca="1">VLOOKUP(A41,INDIRECT('LOCCS Import'!$X$3&amp;"$A$3"):INDIRECT('LOCCS Import'!$X$3&amp;"$O$54"),8,)</f>
        <v>0</v>
      </c>
      <c r="AK41" s="1">
        <f ca="1">VLOOKUP(A41,INDIRECT('LOCCS Import'!$W$3&amp;"$A$3"):INDIRECT('LOCCS Import'!$W$3&amp;"$O$54"),8,)</f>
        <v>0.7</v>
      </c>
      <c r="AL41" s="1">
        <f ca="1">VLOOKUP(A41,INDIRECT('LOCCS Import'!$V$3&amp;"$A$3"):INDIRECT('LOCCS Import'!$V$3&amp;"$O$54"),8,)</f>
        <v>0.66</v>
      </c>
      <c r="AM41" s="1">
        <f ca="1">VLOOKUP(A41,INDIRECT('LOCCS Import'!$U$3&amp;"$A$3"):INDIRECT('LOCCS Import'!$U$3&amp;"$O$54"),8,)</f>
        <v>0.63</v>
      </c>
      <c r="AN41" s="1">
        <f ca="1">VLOOKUP(A41,INDIRECT('LOCCS Import'!$T$3&amp;"$A$3"):INDIRECT('LOCCS Import'!$T$3&amp;"$O$54"),8,)</f>
        <v>0.64</v>
      </c>
      <c r="AO41" s="1">
        <f ca="1">VLOOKUP(A41,INDIRECT('LOCCS Import'!$S$3&amp;"$A$3"):INDIRECT('LOCCS Import'!$S$3&amp;"$O$54"),8,)</f>
        <v>1.03</v>
      </c>
      <c r="AP41" s="1">
        <f ca="1">VLOOKUP(A41,INDIRECT('LOCCS Import'!$R$3&amp;"$A$3"):INDIRECT('LOCCS Import'!$R$3&amp;"$O$54"),8,)</f>
        <v>1.1100000000000001</v>
      </c>
      <c r="AQ41" s="1">
        <f ca="1">VLOOKUP(A41,INDIRECT('LOCCS Import'!$Q$3&amp;"$A$3"):INDIRECT('LOCCS Import'!$Q$3&amp;"$O$54"),8,)</f>
        <v>1.03</v>
      </c>
      <c r="AR41" s="1">
        <f ca="1">VLOOKUP(A41,INDIRECT('LOCCS Import'!$P$3&amp;"$A$3"):INDIRECT('LOCCS Import'!$P$3&amp;"$O$54"),8,)</f>
        <v>1.03</v>
      </c>
      <c r="AS41" s="1">
        <f ca="1">VLOOKUP(A41,INDIRECT('LOCCS Import'!$O$3&amp;"$A$3"):INDIRECT('LOCCS Import'!$O$3&amp;"$O$54"),8,)</f>
        <v>1.1200000000000001</v>
      </c>
      <c r="AT41" s="1">
        <f ca="1">VLOOKUP(A41,INDIRECT('LOCCS Import'!$N$3&amp;"$A$3"):INDIRECT('LOCCS Import'!$N$3&amp;"$O$54"),8,)</f>
        <v>1.1299999999999999</v>
      </c>
      <c r="AU41" s="1">
        <f ca="1">VLOOKUP(A41,INDIRECT('LOCCS Import'!$M$3&amp;"$A$3"):INDIRECT('LOCCS Import'!$M$3&amp;"$O$54"),8,)</f>
        <v>1.34</v>
      </c>
      <c r="AV41" s="1">
        <f ca="1">VLOOKUP(A41,INDIRECT('LOCCS Import'!$L$3&amp;"$A$3"):INDIRECT('LOCCS Import'!$L$3&amp;"$O$54"),8,)</f>
        <v>1.34</v>
      </c>
      <c r="AW41" s="1">
        <f ca="1">VLOOKUP(A41,INDIRECT('LOCCS Import'!$K$3&amp;"$A$3"):INDIRECT('LOCCS Import'!$K$3&amp;"$O$54"),8,)</f>
        <v>1.68</v>
      </c>
      <c r="AX41" s="1">
        <f ca="1">VLOOKUP(A41,INDIRECT('LOCCS Import'!$J$3&amp;"$A$3"):INDIRECT('LOCCS Import'!$J$3&amp;"$O$54"),8,)</f>
        <v>1.68</v>
      </c>
      <c r="AY41" s="1">
        <f ca="1">VLOOKUP(A41,INDIRECT('LOCCS Import'!$I$3&amp;"$A$3"):INDIRECT('LOCCS Import'!$I$3&amp;"$O$54"),8,)</f>
        <v>1.9</v>
      </c>
      <c r="AZ41" s="1">
        <f ca="1">VLOOKUP(A41,INDIRECT('LOCCS Import'!$H$3&amp;"$A$3"):INDIRECT('LOCCS Import'!$H$3&amp;"$O$54"),8,)</f>
        <v>1.89</v>
      </c>
      <c r="BA41" s="1">
        <f ca="1">VLOOKUP(A41,INDIRECT('LOCCS Import'!$G$3&amp;"$A$3"):INDIRECT('LOCCS Import'!$G$3&amp;"$O$54"),8,)</f>
        <v>1.3</v>
      </c>
      <c r="BB41" s="1">
        <f ca="1">VLOOKUP(A41,INDIRECT('LOCCS Import'!$F$3&amp;"$A$3"):INDIRECT('LOCCS Import'!$F$3&amp;"$O$54"),8,)</f>
        <v>1.35</v>
      </c>
      <c r="BC41" s="1">
        <f ca="1">VLOOKUP(A41,INDIRECT('LOCCS Import'!$E$3&amp;"$A$3"):INDIRECT('LOCCS Import'!$E$3&amp;"$O$54"),8,)</f>
        <v>1.37</v>
      </c>
      <c r="BD41" s="2">
        <f>VLOOKUP(A41,template!$A$3:$P$54,8,)</f>
        <v>1.35</v>
      </c>
      <c r="BE41" s="2">
        <f t="shared" ca="1" si="10"/>
        <v>1.4541666666666668</v>
      </c>
      <c r="BF41" s="109">
        <f t="shared" ca="1" si="5"/>
        <v>3</v>
      </c>
    </row>
    <row r="42" spans="1:58" x14ac:dyDescent="0.3">
      <c r="A42" s="64" t="s">
        <v>30</v>
      </c>
      <c r="B42" s="61" t="s">
        <v>155</v>
      </c>
      <c r="C42" s="61" t="s">
        <v>197</v>
      </c>
      <c r="D42" s="55">
        <f ca="1">VLOOKUP(A42,INDIRECT('LOCCS Import'!$AA$3&amp;"$A$3"):INDIRECT('LOCCS Import'!$AA$3&amp;"$O$54"),7,)</f>
        <v>3.8</v>
      </c>
      <c r="E42" s="57">
        <f ca="1">VLOOKUP(A42,INDIRECT('LOCCS Import'!$Z$3&amp;"$A$3"):INDIRECT('LOCCS Import'!$Z$3&amp;"$O$54"),7,)</f>
        <v>3.64</v>
      </c>
      <c r="F42" s="57">
        <f ca="1">VLOOKUP(A42,INDIRECT('LOCCS Import'!$Y$3&amp;"$A$3"):INDIRECT('LOCCS Import'!$Y$3&amp;"$O$54"),7,)</f>
        <v>3.49</v>
      </c>
      <c r="G42" s="57">
        <f ca="1">VLOOKUP(A42,INDIRECT('LOCCS Import'!$X$3&amp;"$A$3"):INDIRECT('LOCCS Import'!$X$3&amp;"$O$54"),7,)</f>
        <v>3.49</v>
      </c>
      <c r="H42" s="57">
        <f ca="1">VLOOKUP(A42,INDIRECT('LOCCS Import'!$W$3&amp;"$A$3"):INDIRECT('LOCCS Import'!$W$3&amp;"$O$54"),7,)</f>
        <v>4.3</v>
      </c>
      <c r="I42" s="57">
        <f ca="1">VLOOKUP(A42,INDIRECT('LOCCS Import'!$V$3&amp;"$A$3"):INDIRECT('LOCCS Import'!$V$3&amp;"$O$54"),7,)</f>
        <v>4.17</v>
      </c>
      <c r="J42" s="57">
        <f ca="1">VLOOKUP(A42,INDIRECT('LOCCS Import'!$U$3&amp;"$A$3"):INDIRECT('LOCCS Import'!$U$3&amp;"$O$54"),7,)</f>
        <v>4.0999999999999996</v>
      </c>
      <c r="K42" s="57">
        <f ca="1">VLOOKUP(A42,INDIRECT('LOCCS Import'!$T$3&amp;"$A$3"):INDIRECT('LOCCS Import'!$T$3&amp;"$O$54"),7,)</f>
        <v>3.98</v>
      </c>
      <c r="L42" s="57">
        <f ca="1">VLOOKUP(A42,INDIRECT('LOCCS Import'!$S$3&amp;"$A$3"):INDIRECT('LOCCS Import'!$S$3&amp;"$O$54"),7,)</f>
        <v>3.86</v>
      </c>
      <c r="M42" s="57">
        <f ca="1">VLOOKUP(A42,INDIRECT('LOCCS Import'!$R$3&amp;"$A$3"):INDIRECT('LOCCS Import'!$R$3&amp;"$O$54"),7,)</f>
        <v>3.78</v>
      </c>
      <c r="N42" s="57">
        <f ca="1">VLOOKUP(A42,INDIRECT('LOCCS Import'!$Q$3&amp;"$A$3"):INDIRECT('LOCCS Import'!$Q$3&amp;"$O$54"),7,)</f>
        <v>3.67</v>
      </c>
      <c r="O42" s="57">
        <f ca="1">VLOOKUP(A42,INDIRECT('LOCCS Import'!$P$3&amp;"$A$3"):INDIRECT('LOCCS Import'!$P$3&amp;"$O$54"),7,)</f>
        <v>3.67</v>
      </c>
      <c r="P42" s="57">
        <f ca="1">VLOOKUP(A42,INDIRECT('LOCCS Import'!$O$3&amp;"$A$3"):INDIRECT('LOCCS Import'!$O$3&amp;"$O$54"),7,)</f>
        <v>3.51</v>
      </c>
      <c r="Q42" s="57">
        <f ca="1">VLOOKUP(A42,INDIRECT('LOCCS Import'!$N$3&amp;"$A$3"):INDIRECT('LOCCS Import'!$N$3&amp;"$O$54"),7,)</f>
        <v>3.38</v>
      </c>
      <c r="R42" s="57">
        <f ca="1">VLOOKUP(A42,INDIRECT('LOCCS Import'!$M$3&amp;"$A$3"):INDIRECT('LOCCS Import'!$M$3&amp;"$O$54"),7,)</f>
        <v>3.31</v>
      </c>
      <c r="S42" s="57">
        <f ca="1">VLOOKUP(A42,INDIRECT('LOCCS Import'!$L$3&amp;"$A$3"):INDIRECT('LOCCS Import'!$L$3&amp;"$O$54"),7,)</f>
        <v>3.16</v>
      </c>
      <c r="T42" s="57">
        <f ca="1">VLOOKUP(A42,INDIRECT('LOCCS Import'!$K$3&amp;"$A$3"):INDIRECT('LOCCS Import'!$K$3&amp;"$O$54"),7,)</f>
        <v>4.0199999999999996</v>
      </c>
      <c r="U42" s="57">
        <f ca="1">VLOOKUP(A42,INDIRECT('LOCCS Import'!$J$3&amp;"$A$3"):INDIRECT('LOCCS Import'!$J$3&amp;"$O$54"),7,)</f>
        <v>3.92</v>
      </c>
      <c r="V42" s="57">
        <f ca="1">VLOOKUP(A42,INDIRECT('LOCCS Import'!$I$3&amp;"$A$3"):INDIRECT('LOCCS Import'!$I$3&amp;"$O$54"),7,)</f>
        <v>3.86</v>
      </c>
      <c r="W42" s="57">
        <f ca="1">VLOOKUP(A42,INDIRECT('LOCCS Import'!$H$3&amp;"$A$3"):INDIRECT('LOCCS Import'!$H$3&amp;"$O$54"),7,)</f>
        <v>3.83</v>
      </c>
      <c r="X42" s="57">
        <f ca="1">VLOOKUP(A42,INDIRECT('LOCCS Import'!$G$3&amp;"$A$3"):INDIRECT('LOCCS Import'!$G$3&amp;"$O$54"),7,)</f>
        <v>3.79</v>
      </c>
      <c r="Y42" s="57">
        <f ca="1">VLOOKUP(A42,INDIRECT('LOCCS Import'!$F$3&amp;"$A$3"):INDIRECT('LOCCS Import'!$F$3&amp;"$O$54"),7,)</f>
        <v>3.71</v>
      </c>
      <c r="Z42" s="57">
        <f ca="1">VLOOKUP(A42,INDIRECT('LOCCS Import'!$E$3&amp;"$A$3"):INDIRECT('LOCCS Import'!$E$3&amp;"$O$54"),7,)</f>
        <v>3.63</v>
      </c>
      <c r="AA42" s="57">
        <f>VLOOKUP(A42,template!$A$3:$P$54,7,)</f>
        <v>3.56</v>
      </c>
      <c r="AB42" s="55">
        <f t="shared" ca="1" si="6"/>
        <v>4.0199999999999996</v>
      </c>
      <c r="AC42" s="57">
        <f t="shared" ca="1" si="7"/>
        <v>3.16</v>
      </c>
      <c r="AD42" s="58">
        <f t="shared" ca="1" si="8"/>
        <v>3.64</v>
      </c>
      <c r="AE42" s="80">
        <f t="shared" ca="1" si="9"/>
        <v>34</v>
      </c>
      <c r="AF42" s="127"/>
      <c r="AG42" s="3">
        <f ca="1">VLOOKUP(A42,INDIRECT('LOCCS Import'!$AA$3&amp;"$A$3"):INDIRECT('LOCCS Import'!$AA$3&amp;"$O$54"),8,)</f>
        <v>1.26</v>
      </c>
      <c r="AH42" s="1">
        <f ca="1">VLOOKUP(A42,INDIRECT('LOCCS Import'!$Z$3&amp;"$A$3"):INDIRECT('LOCCS Import'!$Z$3&amp;"$O$54"),8,)</f>
        <v>1.17</v>
      </c>
      <c r="AI42" s="1">
        <f ca="1">VLOOKUP(A42,INDIRECT('LOCCS Import'!$Y$3&amp;"$A$3"):INDIRECT('LOCCS Import'!$Y$3&amp;"$O$54"),8,)</f>
        <v>1.3</v>
      </c>
      <c r="AJ42" s="1">
        <f ca="1">VLOOKUP(A42,INDIRECT('LOCCS Import'!$X$3&amp;"$A$3"):INDIRECT('LOCCS Import'!$X$3&amp;"$O$54"),8,)</f>
        <v>1.25</v>
      </c>
      <c r="AK42" s="1">
        <f ca="1">VLOOKUP(A42,INDIRECT('LOCCS Import'!$W$3&amp;"$A$3"):INDIRECT('LOCCS Import'!$W$3&amp;"$O$54"),8,)</f>
        <v>1.28</v>
      </c>
      <c r="AL42" s="1">
        <f ca="1">VLOOKUP(A42,INDIRECT('LOCCS Import'!$V$3&amp;"$A$3"):INDIRECT('LOCCS Import'!$V$3&amp;"$O$54"),8,)</f>
        <v>1.27</v>
      </c>
      <c r="AM42" s="1">
        <f ca="1">VLOOKUP(A42,INDIRECT('LOCCS Import'!$U$3&amp;"$A$3"):INDIRECT('LOCCS Import'!$U$3&amp;"$O$54"),8,)</f>
        <v>1.28</v>
      </c>
      <c r="AN42" s="1">
        <f ca="1">VLOOKUP(A42,INDIRECT('LOCCS Import'!$T$3&amp;"$A$3"):INDIRECT('LOCCS Import'!$T$3&amp;"$O$54"),8,)</f>
        <v>1.3</v>
      </c>
      <c r="AO42" s="1">
        <f ca="1">VLOOKUP(A42,INDIRECT('LOCCS Import'!$S$3&amp;"$A$3"):INDIRECT('LOCCS Import'!$S$3&amp;"$O$54"),8,)</f>
        <v>1.34</v>
      </c>
      <c r="AP42" s="1">
        <f ca="1">VLOOKUP(A42,INDIRECT('LOCCS Import'!$R$3&amp;"$A$3"):INDIRECT('LOCCS Import'!$R$3&amp;"$O$54"),8,)</f>
        <v>1.29</v>
      </c>
      <c r="AQ42" s="1">
        <f ca="1">VLOOKUP(A42,INDIRECT('LOCCS Import'!$Q$3&amp;"$A$3"):INDIRECT('LOCCS Import'!$Q$3&amp;"$O$54"),8,)</f>
        <v>1.27</v>
      </c>
      <c r="AR42" s="1">
        <f ca="1">VLOOKUP(A42,INDIRECT('LOCCS Import'!$P$3&amp;"$A$3"):INDIRECT('LOCCS Import'!$P$3&amp;"$O$54"),8,)</f>
        <v>1.27</v>
      </c>
      <c r="AS42" s="1">
        <f ca="1">VLOOKUP(A42,INDIRECT('LOCCS Import'!$O$3&amp;"$A$3"):INDIRECT('LOCCS Import'!$O$3&amp;"$O$54"),8,)</f>
        <v>1.28</v>
      </c>
      <c r="AT42" s="1">
        <f ca="1">VLOOKUP(A42,INDIRECT('LOCCS Import'!$N$3&amp;"$A$3"):INDIRECT('LOCCS Import'!$N$3&amp;"$O$54"),8,)</f>
        <v>1.27</v>
      </c>
      <c r="AU42" s="1">
        <f ca="1">VLOOKUP(A42,INDIRECT('LOCCS Import'!$M$3&amp;"$A$3"):INDIRECT('LOCCS Import'!$M$3&amp;"$O$54"),8,)</f>
        <v>1.19</v>
      </c>
      <c r="AV42" s="1">
        <f ca="1">VLOOKUP(A42,INDIRECT('LOCCS Import'!$L$3&amp;"$A$3"):INDIRECT('LOCCS Import'!$L$3&amp;"$O$54"),8,)</f>
        <v>1.34</v>
      </c>
      <c r="AW42" s="1">
        <f ca="1">VLOOKUP(A42,INDIRECT('LOCCS Import'!$K$3&amp;"$A$3"):INDIRECT('LOCCS Import'!$K$3&amp;"$O$54"),8,)</f>
        <v>1.2</v>
      </c>
      <c r="AX42" s="1">
        <f ca="1">VLOOKUP(A42,INDIRECT('LOCCS Import'!$J$3&amp;"$A$3"):INDIRECT('LOCCS Import'!$J$3&amp;"$O$54"),8,)</f>
        <v>1.1599999999999999</v>
      </c>
      <c r="AY42" s="1">
        <f ca="1">VLOOKUP(A42,INDIRECT('LOCCS Import'!$I$3&amp;"$A$3"):INDIRECT('LOCCS Import'!$I$3&amp;"$O$54"),8,)</f>
        <v>1.1599999999999999</v>
      </c>
      <c r="AZ42" s="1">
        <f ca="1">VLOOKUP(A42,INDIRECT('LOCCS Import'!$H$3&amp;"$A$3"):INDIRECT('LOCCS Import'!$H$3&amp;"$O$54"),8,)</f>
        <v>1.0900000000000001</v>
      </c>
      <c r="BA42" s="1">
        <f ca="1">VLOOKUP(A42,INDIRECT('LOCCS Import'!$G$3&amp;"$A$3"):INDIRECT('LOCCS Import'!$G$3&amp;"$O$54"),8,)</f>
        <v>1</v>
      </c>
      <c r="BB42" s="1">
        <f ca="1">VLOOKUP(A42,INDIRECT('LOCCS Import'!$F$3&amp;"$A$3"):INDIRECT('LOCCS Import'!$F$3&amp;"$O$54"),8,)</f>
        <v>1.01</v>
      </c>
      <c r="BC42" s="1">
        <f ca="1">VLOOKUP(A42,INDIRECT('LOCCS Import'!$E$3&amp;"$A$3"):INDIRECT('LOCCS Import'!$E$3&amp;"$O$54"),8,)</f>
        <v>0.97</v>
      </c>
      <c r="BD42" s="2">
        <f>VLOOKUP(A42,template!$A$3:$P$54,8,)</f>
        <v>0.98</v>
      </c>
      <c r="BE42" s="2">
        <f t="shared" ca="1" si="10"/>
        <v>1.1375</v>
      </c>
      <c r="BF42" s="109">
        <f t="shared" ca="1" si="5"/>
        <v>13</v>
      </c>
    </row>
    <row r="43" spans="1:58" x14ac:dyDescent="0.3">
      <c r="A43" s="64" t="s">
        <v>43</v>
      </c>
      <c r="B43" s="61" t="s">
        <v>167</v>
      </c>
      <c r="C43" s="61" t="s">
        <v>198</v>
      </c>
      <c r="D43" s="55">
        <f ca="1">VLOOKUP(A43,INDIRECT('LOCCS Import'!$AA$3&amp;"$A$3"):INDIRECT('LOCCS Import'!$AA$3&amp;"$O$54"),7,)</f>
        <v>2.99</v>
      </c>
      <c r="E43" s="57">
        <f ca="1">VLOOKUP(A43,INDIRECT('LOCCS Import'!$Z$3&amp;"$A$3"):INDIRECT('LOCCS Import'!$Z$3&amp;"$O$54"),7,)</f>
        <v>2.91</v>
      </c>
      <c r="F43" s="57">
        <f ca="1">VLOOKUP(A43,INDIRECT('LOCCS Import'!$Y$3&amp;"$A$3"):INDIRECT('LOCCS Import'!$Y$3&amp;"$O$54"),7,)</f>
        <v>2.91</v>
      </c>
      <c r="G43" s="57">
        <f ca="1">VLOOKUP(A43,INDIRECT('LOCCS Import'!$X$3&amp;"$A$3"):INDIRECT('LOCCS Import'!$X$3&amp;"$O$54"),7,)</f>
        <v>2.85</v>
      </c>
      <c r="H43" s="57">
        <f ca="1">VLOOKUP(A43,INDIRECT('LOCCS Import'!$W$3&amp;"$A$3"):INDIRECT('LOCCS Import'!$W$3&amp;"$O$54"),7,)</f>
        <v>2.8</v>
      </c>
      <c r="I43" s="57">
        <f ca="1">VLOOKUP(A43,INDIRECT('LOCCS Import'!$V$3&amp;"$A$3"):INDIRECT('LOCCS Import'!$V$3&amp;"$O$54"),7,)</f>
        <v>2.8</v>
      </c>
      <c r="J43" s="57">
        <f ca="1">VLOOKUP(A43,INDIRECT('LOCCS Import'!$U$3&amp;"$A$3"):INDIRECT('LOCCS Import'!$U$3&amp;"$O$54"),7,)</f>
        <v>3.78</v>
      </c>
      <c r="K43" s="57">
        <f ca="1">VLOOKUP(A43,INDIRECT('LOCCS Import'!$T$3&amp;"$A$3"):INDIRECT('LOCCS Import'!$T$3&amp;"$O$54"),7,)</f>
        <v>3.6</v>
      </c>
      <c r="L43" s="57">
        <f ca="1">VLOOKUP(A43,INDIRECT('LOCCS Import'!$S$3&amp;"$A$3"):INDIRECT('LOCCS Import'!$S$3&amp;"$O$54"),7,)</f>
        <v>3.37</v>
      </c>
      <c r="M43" s="57">
        <f ca="1">VLOOKUP(A43,INDIRECT('LOCCS Import'!$R$3&amp;"$A$3"):INDIRECT('LOCCS Import'!$R$3&amp;"$O$54"),7,)</f>
        <v>3.37</v>
      </c>
      <c r="N43" s="57">
        <f ca="1">VLOOKUP(A43,INDIRECT('LOCCS Import'!$Q$3&amp;"$A$3"):INDIRECT('LOCCS Import'!$Q$3&amp;"$O$54"),7,)</f>
        <v>3.32</v>
      </c>
      <c r="O43" s="57">
        <f ca="1">VLOOKUP(A43,INDIRECT('LOCCS Import'!$P$3&amp;"$A$3"):INDIRECT('LOCCS Import'!$P$3&amp;"$O$54"),7,)</f>
        <v>3.32</v>
      </c>
      <c r="P43" s="57">
        <f ca="1">VLOOKUP(A43,INDIRECT('LOCCS Import'!$O$3&amp;"$A$3"):INDIRECT('LOCCS Import'!$O$3&amp;"$O$54"),7,)</f>
        <v>3.26</v>
      </c>
      <c r="Q43" s="57">
        <f ca="1">VLOOKUP(A43,INDIRECT('LOCCS Import'!$N$3&amp;"$A$3"):INDIRECT('LOCCS Import'!$N$3&amp;"$O$54"),7,)</f>
        <v>3.1</v>
      </c>
      <c r="R43" s="57">
        <f ca="1">VLOOKUP(A43,INDIRECT('LOCCS Import'!$M$3&amp;"$A$3"):INDIRECT('LOCCS Import'!$M$3&amp;"$O$54"),7,)</f>
        <v>3.1</v>
      </c>
      <c r="S43" s="57">
        <f ca="1">VLOOKUP(A43,INDIRECT('LOCCS Import'!$L$3&amp;"$A$3"):INDIRECT('LOCCS Import'!$L$3&amp;"$O$54"),7,)</f>
        <v>2.87</v>
      </c>
      <c r="T43" s="57">
        <f ca="1">VLOOKUP(A43,INDIRECT('LOCCS Import'!$K$3&amp;"$A$3"):INDIRECT('LOCCS Import'!$K$3&amp;"$O$54"),7,)</f>
        <v>2.5</v>
      </c>
      <c r="U43" s="57">
        <f ca="1">VLOOKUP(A43,INDIRECT('LOCCS Import'!$J$3&amp;"$A$3"):INDIRECT('LOCCS Import'!$J$3&amp;"$O$54"),7,)</f>
        <v>2.2400000000000002</v>
      </c>
      <c r="V43" s="57">
        <f ca="1">VLOOKUP(A43,INDIRECT('LOCCS Import'!$I$3&amp;"$A$3"):INDIRECT('LOCCS Import'!$I$3&amp;"$O$54"),7,)</f>
        <v>2.13</v>
      </c>
      <c r="W43" s="57">
        <f ca="1">VLOOKUP(A43,INDIRECT('LOCCS Import'!$H$3&amp;"$A$3"):INDIRECT('LOCCS Import'!$H$3&amp;"$O$54"),7,)</f>
        <v>2.13</v>
      </c>
      <c r="X43" s="57">
        <f ca="1">VLOOKUP(A43,INDIRECT('LOCCS Import'!$G$3&amp;"$A$3"):INDIRECT('LOCCS Import'!$G$3&amp;"$O$54"),7,)</f>
        <v>3.15</v>
      </c>
      <c r="Y43" s="57">
        <f ca="1">VLOOKUP(A43,INDIRECT('LOCCS Import'!$F$3&amp;"$A$3"):INDIRECT('LOCCS Import'!$F$3&amp;"$O$54"),7,)</f>
        <v>3.05</v>
      </c>
      <c r="Z43" s="57">
        <f ca="1">VLOOKUP(A43,INDIRECT('LOCCS Import'!$E$3&amp;"$A$3"):INDIRECT('LOCCS Import'!$E$3&amp;"$O$54"),7,)</f>
        <v>2.97</v>
      </c>
      <c r="AA43" s="57">
        <f>VLOOKUP(A43,template!$A$3:$P$54,7,)</f>
        <v>2.97</v>
      </c>
      <c r="AB43" s="55">
        <f t="shared" ca="1" si="6"/>
        <v>3.26</v>
      </c>
      <c r="AC43" s="57">
        <f t="shared" ca="1" si="7"/>
        <v>2.13</v>
      </c>
      <c r="AD43" s="58">
        <f t="shared" ca="1" si="8"/>
        <v>2.7891666666666666</v>
      </c>
      <c r="AE43" s="80">
        <f t="shared" ca="1" si="9"/>
        <v>21</v>
      </c>
      <c r="AF43" s="127"/>
      <c r="AG43" s="3">
        <f ca="1">VLOOKUP(A43,INDIRECT('LOCCS Import'!$AA$3&amp;"$A$3"):INDIRECT('LOCCS Import'!$AA$3&amp;"$O$54"),8,)</f>
        <v>1.26</v>
      </c>
      <c r="AH43" s="1">
        <f ca="1">VLOOKUP(A43,INDIRECT('LOCCS Import'!$Z$3&amp;"$A$3"):INDIRECT('LOCCS Import'!$Z$3&amp;"$O$54"),8,)</f>
        <v>1.19</v>
      </c>
      <c r="AI43" s="1">
        <f ca="1">VLOOKUP(A43,INDIRECT('LOCCS Import'!$Y$3&amp;"$A$3"):INDIRECT('LOCCS Import'!$Y$3&amp;"$O$54"),8,)</f>
        <v>1.19</v>
      </c>
      <c r="AJ43" s="1">
        <f ca="1">VLOOKUP(A43,INDIRECT('LOCCS Import'!$X$3&amp;"$A$3"):INDIRECT('LOCCS Import'!$X$3&amp;"$O$54"),8,)</f>
        <v>1.25</v>
      </c>
      <c r="AK43" s="1">
        <f ca="1">VLOOKUP(A43,INDIRECT('LOCCS Import'!$W$3&amp;"$A$3"):INDIRECT('LOCCS Import'!$W$3&amp;"$O$54"),8,)</f>
        <v>1.05</v>
      </c>
      <c r="AL43" s="1">
        <f ca="1">VLOOKUP(A43,INDIRECT('LOCCS Import'!$V$3&amp;"$A$3"):INDIRECT('LOCCS Import'!$V$3&amp;"$O$54"),8,)</f>
        <v>1.05</v>
      </c>
      <c r="AM43" s="1">
        <f ca="1">VLOOKUP(A43,INDIRECT('LOCCS Import'!$U$3&amp;"$A$3"):INDIRECT('LOCCS Import'!$U$3&amp;"$O$54"),8,)</f>
        <v>1.1399999999999999</v>
      </c>
      <c r="AN43" s="1">
        <f ca="1">VLOOKUP(A43,INDIRECT('LOCCS Import'!$T$3&amp;"$A$3"):INDIRECT('LOCCS Import'!$T$3&amp;"$O$54"),8,)</f>
        <v>0.95</v>
      </c>
      <c r="AO43" s="1">
        <f ca="1">VLOOKUP(A43,INDIRECT('LOCCS Import'!$S$3&amp;"$A$3"):INDIRECT('LOCCS Import'!$S$3&amp;"$O$54"),8,)</f>
        <v>1.1599999999999999</v>
      </c>
      <c r="AP43" s="1">
        <f ca="1">VLOOKUP(A43,INDIRECT('LOCCS Import'!$R$3&amp;"$A$3"):INDIRECT('LOCCS Import'!$R$3&amp;"$O$54"),8,)</f>
        <v>1.1599999999999999</v>
      </c>
      <c r="AQ43" s="1">
        <f ca="1">VLOOKUP(A43,INDIRECT('LOCCS Import'!$Q$3&amp;"$A$3"):INDIRECT('LOCCS Import'!$Q$3&amp;"$O$54"),8,)</f>
        <v>0.81</v>
      </c>
      <c r="AR43" s="1">
        <f ca="1">VLOOKUP(A43,INDIRECT('LOCCS Import'!$P$3&amp;"$A$3"):INDIRECT('LOCCS Import'!$P$3&amp;"$O$54"),8,)</f>
        <v>0.81</v>
      </c>
      <c r="AS43" s="1">
        <f ca="1">VLOOKUP(A43,INDIRECT('LOCCS Import'!$O$3&amp;"$A$3"):INDIRECT('LOCCS Import'!$O$3&amp;"$O$54"),8,)</f>
        <v>0.79</v>
      </c>
      <c r="AT43" s="1">
        <f ca="1">VLOOKUP(A43,INDIRECT('LOCCS Import'!$N$3&amp;"$A$3"):INDIRECT('LOCCS Import'!$N$3&amp;"$O$54"),8,)</f>
        <v>0.86</v>
      </c>
      <c r="AU43" s="1">
        <f ca="1">VLOOKUP(A43,INDIRECT('LOCCS Import'!$M$3&amp;"$A$3"):INDIRECT('LOCCS Import'!$M$3&amp;"$O$54"),8,)</f>
        <v>0.86</v>
      </c>
      <c r="AV43" s="1">
        <f ca="1">VLOOKUP(A43,INDIRECT('LOCCS Import'!$L$3&amp;"$A$3"):INDIRECT('LOCCS Import'!$L$3&amp;"$O$54"),8,)</f>
        <v>1.03</v>
      </c>
      <c r="AW43" s="1">
        <f ca="1">VLOOKUP(A43,INDIRECT('LOCCS Import'!$K$3&amp;"$A$3"):INDIRECT('LOCCS Import'!$K$3&amp;"$O$54"),8,)</f>
        <v>1.1299999999999999</v>
      </c>
      <c r="AX43" s="1">
        <f ca="1">VLOOKUP(A43,INDIRECT('LOCCS Import'!$J$3&amp;"$A$3"):INDIRECT('LOCCS Import'!$J$3&amp;"$O$54"),8,)</f>
        <v>1.61</v>
      </c>
      <c r="AY43" s="1">
        <f ca="1">VLOOKUP(A43,INDIRECT('LOCCS Import'!$I$3&amp;"$A$3"):INDIRECT('LOCCS Import'!$I$3&amp;"$O$54"),8,)</f>
        <v>1.65</v>
      </c>
      <c r="AZ43" s="1">
        <f ca="1">VLOOKUP(A43,INDIRECT('LOCCS Import'!$H$3&amp;"$A$3"):INDIRECT('LOCCS Import'!$H$3&amp;"$O$54"),8,)</f>
        <v>1.47</v>
      </c>
      <c r="BA43" s="1">
        <f ca="1">VLOOKUP(A43,INDIRECT('LOCCS Import'!$G$3&amp;"$A$3"):INDIRECT('LOCCS Import'!$G$3&amp;"$O$54"),8,)</f>
        <v>1.24</v>
      </c>
      <c r="BB43" s="1">
        <f ca="1">VLOOKUP(A43,INDIRECT('LOCCS Import'!$F$3&amp;"$A$3"):INDIRECT('LOCCS Import'!$F$3&amp;"$O$54"),8,)</f>
        <v>1.34</v>
      </c>
      <c r="BC43" s="1">
        <f ca="1">VLOOKUP(A43,INDIRECT('LOCCS Import'!$E$3&amp;"$A$3"):INDIRECT('LOCCS Import'!$E$3&amp;"$O$54"),8,)</f>
        <v>1.37</v>
      </c>
      <c r="BD43" s="2">
        <f>VLOOKUP(A43,template!$A$3:$P$54,8,)</f>
        <v>1.37</v>
      </c>
      <c r="BE43" s="2">
        <f t="shared" ca="1" si="10"/>
        <v>1.2266666666666668</v>
      </c>
      <c r="BF43" s="109">
        <f t="shared" ca="1" si="5"/>
        <v>7</v>
      </c>
    </row>
    <row r="44" spans="1:58" x14ac:dyDescent="0.3">
      <c r="A44" s="64" t="s">
        <v>56</v>
      </c>
      <c r="B44" s="61" t="s">
        <v>157</v>
      </c>
      <c r="C44" s="61" t="s">
        <v>199</v>
      </c>
      <c r="D44" s="55">
        <f ca="1">VLOOKUP(A44,INDIRECT('LOCCS Import'!$AA$3&amp;"$A$3"):INDIRECT('LOCCS Import'!$AA$3&amp;"$O$54"),7,)</f>
        <v>2.3199999999999998</v>
      </c>
      <c r="E44" s="57">
        <f ca="1">VLOOKUP(A44,INDIRECT('LOCCS Import'!$Z$3&amp;"$A$3"):INDIRECT('LOCCS Import'!$Z$3&amp;"$O$54"),7,)</f>
        <v>2.2799999999999998</v>
      </c>
      <c r="F44" s="57">
        <f ca="1">VLOOKUP(A44,INDIRECT('LOCCS Import'!$Y$3&amp;"$A$3"):INDIRECT('LOCCS Import'!$Y$3&amp;"$O$54"),7,)</f>
        <v>2.2599999999999998</v>
      </c>
      <c r="G44" s="57">
        <f ca="1">VLOOKUP(A44,INDIRECT('LOCCS Import'!$X$3&amp;"$A$3"):INDIRECT('LOCCS Import'!$X$3&amp;"$O$54"),7,)</f>
        <v>2.23</v>
      </c>
      <c r="H44" s="57">
        <f ca="1">VLOOKUP(A44,INDIRECT('LOCCS Import'!$W$3&amp;"$A$3"):INDIRECT('LOCCS Import'!$W$3&amp;"$O$54"),7,)</f>
        <v>3.22</v>
      </c>
      <c r="I44" s="57">
        <f ca="1">VLOOKUP(A44,INDIRECT('LOCCS Import'!$V$3&amp;"$A$3"):INDIRECT('LOCCS Import'!$V$3&amp;"$O$54"),7,)</f>
        <v>3.09</v>
      </c>
      <c r="J44" s="57">
        <f ca="1">VLOOKUP(A44,INDIRECT('LOCCS Import'!$U$3&amp;"$A$3"):INDIRECT('LOCCS Import'!$U$3&amp;"$O$54"),7,)</f>
        <v>3.02</v>
      </c>
      <c r="K44" s="57">
        <f ca="1">VLOOKUP(A44,INDIRECT('LOCCS Import'!$T$3&amp;"$A$3"):INDIRECT('LOCCS Import'!$T$3&amp;"$O$54"),7,)</f>
        <v>2.92</v>
      </c>
      <c r="L44" s="57">
        <f ca="1">VLOOKUP(A44,INDIRECT('LOCCS Import'!$S$3&amp;"$A$3"):INDIRECT('LOCCS Import'!$S$3&amp;"$O$54"),7,)</f>
        <v>2.87</v>
      </c>
      <c r="M44" s="57">
        <f ca="1">VLOOKUP(A44,INDIRECT('LOCCS Import'!$R$3&amp;"$A$3"):INDIRECT('LOCCS Import'!$R$3&amp;"$O$54"),7,)</f>
        <v>2.78</v>
      </c>
      <c r="N44" s="57">
        <f ca="1">VLOOKUP(A44,INDIRECT('LOCCS Import'!$Q$3&amp;"$A$3"):INDIRECT('LOCCS Import'!$Q$3&amp;"$O$54"),7,)</f>
        <v>2.74</v>
      </c>
      <c r="O44" s="57">
        <f ca="1">VLOOKUP(A44,INDIRECT('LOCCS Import'!$P$3&amp;"$A$3"):INDIRECT('LOCCS Import'!$P$3&amp;"$O$54"),7,)</f>
        <v>2.74</v>
      </c>
      <c r="P44" s="57">
        <f ca="1">VLOOKUP(A44,INDIRECT('LOCCS Import'!$O$3&amp;"$A$3"):INDIRECT('LOCCS Import'!$O$3&amp;"$O$54"),7,)</f>
        <v>2.6</v>
      </c>
      <c r="Q44" s="57">
        <f ca="1">VLOOKUP(A44,INDIRECT('LOCCS Import'!$N$3&amp;"$A$3"):INDIRECT('LOCCS Import'!$N$3&amp;"$O$54"),7,)</f>
        <v>2.54</v>
      </c>
      <c r="R44" s="57">
        <f ca="1">VLOOKUP(A44,INDIRECT('LOCCS Import'!$M$3&amp;"$A$3"):INDIRECT('LOCCS Import'!$M$3&amp;"$O$54"),7,)</f>
        <v>2.46</v>
      </c>
      <c r="S44" s="57">
        <f ca="1">VLOOKUP(A44,INDIRECT('LOCCS Import'!$L$3&amp;"$A$3"):INDIRECT('LOCCS Import'!$L$3&amp;"$O$54"),7,)</f>
        <v>2.4</v>
      </c>
      <c r="T44" s="57">
        <f ca="1">VLOOKUP(A44,INDIRECT('LOCCS Import'!$K$3&amp;"$A$3"):INDIRECT('LOCCS Import'!$K$3&amp;"$O$54"),7,)</f>
        <v>3.3</v>
      </c>
      <c r="U44" s="57">
        <f ca="1">VLOOKUP(A44,INDIRECT('LOCCS Import'!$J$3&amp;"$A$3"):INDIRECT('LOCCS Import'!$J$3&amp;"$O$54"),7,)</f>
        <v>3.27</v>
      </c>
      <c r="V44" s="57">
        <f ca="1">VLOOKUP(A44,INDIRECT('LOCCS Import'!$I$3&amp;"$A$3"):INDIRECT('LOCCS Import'!$I$3&amp;"$O$54"),7,)</f>
        <v>3.21</v>
      </c>
      <c r="W44" s="57">
        <f ca="1">VLOOKUP(A44,INDIRECT('LOCCS Import'!$H$3&amp;"$A$3"):INDIRECT('LOCCS Import'!$H$3&amp;"$O$54"),7,)</f>
        <v>3.16</v>
      </c>
      <c r="X44" s="57">
        <f ca="1">VLOOKUP(A44,INDIRECT('LOCCS Import'!$G$3&amp;"$A$3"):INDIRECT('LOCCS Import'!$G$3&amp;"$O$54"),7,)</f>
        <v>3.12</v>
      </c>
      <c r="Y44" s="57">
        <f ca="1">VLOOKUP(A44,INDIRECT('LOCCS Import'!$F$3&amp;"$A$3"):INDIRECT('LOCCS Import'!$F$3&amp;"$O$54"),7,)</f>
        <v>3.03</v>
      </c>
      <c r="Z44" s="57">
        <f ca="1">VLOOKUP(A44,INDIRECT('LOCCS Import'!$E$3&amp;"$A$3"):INDIRECT('LOCCS Import'!$E$3&amp;"$O$54"),7,)</f>
        <v>2.94</v>
      </c>
      <c r="AA44" s="57">
        <f>VLOOKUP(A44,template!$A$3:$P$54,7,)</f>
        <v>2.8</v>
      </c>
      <c r="AB44" s="55">
        <f t="shared" ca="1" si="6"/>
        <v>3.3</v>
      </c>
      <c r="AC44" s="57">
        <f t="shared" ca="1" si="7"/>
        <v>2.4</v>
      </c>
      <c r="AD44" s="58">
        <f t="shared" ca="1" si="8"/>
        <v>2.9024999999999999</v>
      </c>
      <c r="AE44" s="80">
        <f t="shared" ca="1" si="9"/>
        <v>24</v>
      </c>
      <c r="AF44" s="127"/>
      <c r="AG44" s="3">
        <f ca="1">VLOOKUP(A44,INDIRECT('LOCCS Import'!$AA$3&amp;"$A$3"):INDIRECT('LOCCS Import'!$AA$3&amp;"$O$54"),8,)</f>
        <v>1.05</v>
      </c>
      <c r="AH44" s="1">
        <f ca="1">VLOOKUP(A44,INDIRECT('LOCCS Import'!$Z$3&amp;"$A$3"):INDIRECT('LOCCS Import'!$Z$3&amp;"$O$54"),8,)</f>
        <v>1</v>
      </c>
      <c r="AI44" s="1">
        <f ca="1">VLOOKUP(A44,INDIRECT('LOCCS Import'!$Y$3&amp;"$A$3"):INDIRECT('LOCCS Import'!$Y$3&amp;"$O$54"),8,)</f>
        <v>0.95</v>
      </c>
      <c r="AJ44" s="1">
        <f ca="1">VLOOKUP(A44,INDIRECT('LOCCS Import'!$X$3&amp;"$A$3"):INDIRECT('LOCCS Import'!$X$3&amp;"$O$54"),8,)</f>
        <v>0.9</v>
      </c>
      <c r="AK44" s="1">
        <f ca="1">VLOOKUP(A44,INDIRECT('LOCCS Import'!$W$3&amp;"$A$3"):INDIRECT('LOCCS Import'!$W$3&amp;"$O$54"),8,)</f>
        <v>0.92</v>
      </c>
      <c r="AL44" s="1">
        <f ca="1">VLOOKUP(A44,INDIRECT('LOCCS Import'!$V$3&amp;"$A$3"):INDIRECT('LOCCS Import'!$V$3&amp;"$O$54"),8,)</f>
        <v>0.96</v>
      </c>
      <c r="AM44" s="1">
        <f ca="1">VLOOKUP(A44,INDIRECT('LOCCS Import'!$U$3&amp;"$A$3"):INDIRECT('LOCCS Import'!$U$3&amp;"$O$54"),8,)</f>
        <v>0.94</v>
      </c>
      <c r="AN44" s="1">
        <f ca="1">VLOOKUP(A44,INDIRECT('LOCCS Import'!$T$3&amp;"$A$3"):INDIRECT('LOCCS Import'!$T$3&amp;"$O$54"),8,)</f>
        <v>0.95</v>
      </c>
      <c r="AO44" s="1">
        <f ca="1">VLOOKUP(A44,INDIRECT('LOCCS Import'!$S$3&amp;"$A$3"):INDIRECT('LOCCS Import'!$S$3&amp;"$O$54"),8,)</f>
        <v>0.94</v>
      </c>
      <c r="AP44" s="1">
        <f ca="1">VLOOKUP(A44,INDIRECT('LOCCS Import'!$R$3&amp;"$A$3"):INDIRECT('LOCCS Import'!$R$3&amp;"$O$54"),8,)</f>
        <v>0.88</v>
      </c>
      <c r="AQ44" s="1">
        <f ca="1">VLOOKUP(A44,INDIRECT('LOCCS Import'!$Q$3&amp;"$A$3"):INDIRECT('LOCCS Import'!$Q$3&amp;"$O$54"),8,)</f>
        <v>0.83</v>
      </c>
      <c r="AR44" s="1">
        <f ca="1">VLOOKUP(A44,INDIRECT('LOCCS Import'!$P$3&amp;"$A$3"):INDIRECT('LOCCS Import'!$P$3&amp;"$O$54"),8,)</f>
        <v>0.83</v>
      </c>
      <c r="AS44" s="1">
        <f ca="1">VLOOKUP(A44,INDIRECT('LOCCS Import'!$O$3&amp;"$A$3"):INDIRECT('LOCCS Import'!$O$3&amp;"$O$54"),8,)</f>
        <v>0.76</v>
      </c>
      <c r="AT44" s="1">
        <f ca="1">VLOOKUP(A44,INDIRECT('LOCCS Import'!$N$3&amp;"$A$3"):INDIRECT('LOCCS Import'!$N$3&amp;"$O$54"),8,)</f>
        <v>0.79</v>
      </c>
      <c r="AU44" s="1">
        <f ca="1">VLOOKUP(A44,INDIRECT('LOCCS Import'!$M$3&amp;"$A$3"):INDIRECT('LOCCS Import'!$M$3&amp;"$O$54"),8,)</f>
        <v>0.84</v>
      </c>
      <c r="AV44" s="1">
        <f ca="1">VLOOKUP(A44,INDIRECT('LOCCS Import'!$L$3&amp;"$A$3"):INDIRECT('LOCCS Import'!$L$3&amp;"$O$54"),8,)</f>
        <v>0.87</v>
      </c>
      <c r="AW44" s="1">
        <f ca="1">VLOOKUP(A44,INDIRECT('LOCCS Import'!$K$3&amp;"$A$3"):INDIRECT('LOCCS Import'!$K$3&amp;"$O$54"),8,)</f>
        <v>0.94</v>
      </c>
      <c r="AX44" s="1">
        <f ca="1">VLOOKUP(A44,INDIRECT('LOCCS Import'!$J$3&amp;"$A$3"):INDIRECT('LOCCS Import'!$J$3&amp;"$O$54"),8,)</f>
        <v>0.83</v>
      </c>
      <c r="AY44" s="1">
        <f ca="1">VLOOKUP(A44,INDIRECT('LOCCS Import'!$I$3&amp;"$A$3"):INDIRECT('LOCCS Import'!$I$3&amp;"$O$54"),8,)</f>
        <v>0.82</v>
      </c>
      <c r="AZ44" s="1">
        <f ca="1">VLOOKUP(A44,INDIRECT('LOCCS Import'!$H$3&amp;"$A$3"):INDIRECT('LOCCS Import'!$H$3&amp;"$O$54"),8,)</f>
        <v>0.77</v>
      </c>
      <c r="BA44" s="1">
        <f ca="1">VLOOKUP(A44,INDIRECT('LOCCS Import'!$G$3&amp;"$A$3"):INDIRECT('LOCCS Import'!$G$3&amp;"$O$54"),8,)</f>
        <v>0.76</v>
      </c>
      <c r="BB44" s="1">
        <f ca="1">VLOOKUP(A44,INDIRECT('LOCCS Import'!$F$3&amp;"$A$3"):INDIRECT('LOCCS Import'!$F$3&amp;"$O$54"),8,)</f>
        <v>0.76</v>
      </c>
      <c r="BC44" s="1">
        <f ca="1">VLOOKUP(A44,INDIRECT('LOCCS Import'!$E$3&amp;"$A$3"):INDIRECT('LOCCS Import'!$E$3&amp;"$O$54"),8,)</f>
        <v>0.81</v>
      </c>
      <c r="BD44" s="2">
        <f>VLOOKUP(A44,template!$A$3:$P$54,8,)</f>
        <v>0.86</v>
      </c>
      <c r="BE44" s="2">
        <f t="shared" ca="1" si="10"/>
        <v>0.8175</v>
      </c>
      <c r="BF44" s="109">
        <f t="shared" ca="1" si="5"/>
        <v>41</v>
      </c>
    </row>
    <row r="45" spans="1:58" x14ac:dyDescent="0.3">
      <c r="A45" s="64" t="s">
        <v>53</v>
      </c>
      <c r="B45" s="61" t="s">
        <v>200</v>
      </c>
      <c r="C45" s="61" t="s">
        <v>201</v>
      </c>
      <c r="D45" s="55">
        <f ca="1">VLOOKUP(A45,INDIRECT('LOCCS Import'!$AA$3&amp;"$A$3"):INDIRECT('LOCCS Import'!$AA$3&amp;"$O$54"),7,)</f>
        <v>2.5</v>
      </c>
      <c r="E45" s="57">
        <f ca="1">VLOOKUP(A45,INDIRECT('LOCCS Import'!$Z$3&amp;"$A$3"):INDIRECT('LOCCS Import'!$Z$3&amp;"$O$54"),7,)</f>
        <v>2.41</v>
      </c>
      <c r="F45" s="57">
        <f ca="1">VLOOKUP(A45,INDIRECT('LOCCS Import'!$Y$3&amp;"$A$3"):INDIRECT('LOCCS Import'!$Y$3&amp;"$O$54"),7,)</f>
        <v>2.31</v>
      </c>
      <c r="G45" s="57">
        <f ca="1">VLOOKUP(A45,INDIRECT('LOCCS Import'!$X$3&amp;"$A$3"):INDIRECT('LOCCS Import'!$X$3&amp;"$O$54"),7,)</f>
        <v>2.2400000000000002</v>
      </c>
      <c r="H45" s="57">
        <f ca="1">VLOOKUP(A45,INDIRECT('LOCCS Import'!$W$3&amp;"$A$3"):INDIRECT('LOCCS Import'!$W$3&amp;"$O$54"),7,)</f>
        <v>3.11</v>
      </c>
      <c r="I45" s="57">
        <f ca="1">VLOOKUP(A45,INDIRECT('LOCCS Import'!$V$3&amp;"$A$3"):INDIRECT('LOCCS Import'!$V$3&amp;"$O$54"),7,)</f>
        <v>3</v>
      </c>
      <c r="J45" s="57">
        <f ca="1">VLOOKUP(A45,INDIRECT('LOCCS Import'!$U$3&amp;"$A$3"):INDIRECT('LOCCS Import'!$U$3&amp;"$O$54"),7,)</f>
        <v>2.93</v>
      </c>
      <c r="K45" s="57">
        <f ca="1">VLOOKUP(A45,INDIRECT('LOCCS Import'!$T$3&amp;"$A$3"):INDIRECT('LOCCS Import'!$T$3&amp;"$O$54"),7,)</f>
        <v>2.84</v>
      </c>
      <c r="L45" s="57">
        <f ca="1">VLOOKUP(A45,INDIRECT('LOCCS Import'!$S$3&amp;"$A$3"):INDIRECT('LOCCS Import'!$S$3&amp;"$O$54"),7,)</f>
        <v>2.65</v>
      </c>
      <c r="M45" s="57">
        <f ca="1">VLOOKUP(A45,INDIRECT('LOCCS Import'!$R$3&amp;"$A$3"):INDIRECT('LOCCS Import'!$R$3&amp;"$O$54"),7,)</f>
        <v>2.62</v>
      </c>
      <c r="N45" s="57">
        <f ca="1">VLOOKUP(A45,INDIRECT('LOCCS Import'!$Q$3&amp;"$A$3"):INDIRECT('LOCCS Import'!$Q$3&amp;"$O$54"),7,)</f>
        <v>2.56</v>
      </c>
      <c r="O45" s="57">
        <f ca="1">VLOOKUP(A45,INDIRECT('LOCCS Import'!$P$3&amp;"$A$3"):INDIRECT('LOCCS Import'!$P$3&amp;"$O$54"),7,)</f>
        <v>2.56</v>
      </c>
      <c r="P45" s="57">
        <f ca="1">VLOOKUP(A45,INDIRECT('LOCCS Import'!$O$3&amp;"$A$3"):INDIRECT('LOCCS Import'!$O$3&amp;"$O$54"),7,)</f>
        <v>2.36</v>
      </c>
      <c r="Q45" s="57">
        <f ca="1">VLOOKUP(A45,INDIRECT('LOCCS Import'!$N$3&amp;"$A$3"):INDIRECT('LOCCS Import'!$N$3&amp;"$O$54"),7,)</f>
        <v>2.27</v>
      </c>
      <c r="R45" s="57">
        <f ca="1">VLOOKUP(A45,INDIRECT('LOCCS Import'!$M$3&amp;"$A$3"):INDIRECT('LOCCS Import'!$M$3&amp;"$O$54"),7,)</f>
        <v>2.1800000000000002</v>
      </c>
      <c r="S45" s="57">
        <f ca="1">VLOOKUP(A45,INDIRECT('LOCCS Import'!$L$3&amp;"$A$3"):INDIRECT('LOCCS Import'!$L$3&amp;"$O$54"),7,)</f>
        <v>2.06</v>
      </c>
      <c r="T45" s="57">
        <f ca="1">VLOOKUP(A45,INDIRECT('LOCCS Import'!$K$3&amp;"$A$3"):INDIRECT('LOCCS Import'!$K$3&amp;"$O$54"),7,)</f>
        <v>2.97</v>
      </c>
      <c r="U45" s="57">
        <f ca="1">VLOOKUP(A45,INDIRECT('LOCCS Import'!$J$3&amp;"$A$3"):INDIRECT('LOCCS Import'!$J$3&amp;"$O$54"),7,)</f>
        <v>2.9</v>
      </c>
      <c r="V45" s="57">
        <f ca="1">VLOOKUP(A45,INDIRECT('LOCCS Import'!$I$3&amp;"$A$3"):INDIRECT('LOCCS Import'!$I$3&amp;"$O$54"),7,)</f>
        <v>2.86</v>
      </c>
      <c r="W45" s="57">
        <f ca="1">VLOOKUP(A45,INDIRECT('LOCCS Import'!$H$3&amp;"$A$3"):INDIRECT('LOCCS Import'!$H$3&amp;"$O$54"),7,)</f>
        <v>2.81</v>
      </c>
      <c r="X45" s="57">
        <f ca="1">VLOOKUP(A45,INDIRECT('LOCCS Import'!$G$3&amp;"$A$3"):INDIRECT('LOCCS Import'!$G$3&amp;"$O$54"),7,)</f>
        <v>2.78</v>
      </c>
      <c r="Y45" s="57">
        <f ca="1">VLOOKUP(A45,INDIRECT('LOCCS Import'!$F$3&amp;"$A$3"):INDIRECT('LOCCS Import'!$F$3&amp;"$O$54"),7,)</f>
        <v>2.72</v>
      </c>
      <c r="Z45" s="57">
        <f ca="1">VLOOKUP(A45,INDIRECT('LOCCS Import'!$E$3&amp;"$A$3"):INDIRECT('LOCCS Import'!$E$3&amp;"$O$54"),7,)</f>
        <v>2.62</v>
      </c>
      <c r="AA45" s="57">
        <f>VLOOKUP(A45,template!$A$3:$P$54,7,)</f>
        <v>2.52</v>
      </c>
      <c r="AB45" s="55">
        <f t="shared" ca="1" si="6"/>
        <v>2.97</v>
      </c>
      <c r="AC45" s="57">
        <f t="shared" ca="1" si="7"/>
        <v>2.06</v>
      </c>
      <c r="AD45" s="58">
        <f t="shared" ca="1" si="8"/>
        <v>2.5874999999999999</v>
      </c>
      <c r="AE45" s="80">
        <f t="shared" ca="1" si="9"/>
        <v>16</v>
      </c>
      <c r="AF45" s="127"/>
      <c r="AG45" s="3">
        <f ca="1">VLOOKUP(A45,INDIRECT('LOCCS Import'!$AA$3&amp;"$A$3"):INDIRECT('LOCCS Import'!$AA$3&amp;"$O$54"),8,)</f>
        <v>1.04</v>
      </c>
      <c r="AH45" s="1">
        <f ca="1">VLOOKUP(A45,INDIRECT('LOCCS Import'!$Z$3&amp;"$A$3"):INDIRECT('LOCCS Import'!$Z$3&amp;"$O$54"),8,)</f>
        <v>1.05</v>
      </c>
      <c r="AI45" s="1">
        <f ca="1">VLOOKUP(A45,INDIRECT('LOCCS Import'!$Y$3&amp;"$A$3"):INDIRECT('LOCCS Import'!$Y$3&amp;"$O$54"),8,)</f>
        <v>1.07</v>
      </c>
      <c r="AJ45" s="1">
        <f ca="1">VLOOKUP(A45,INDIRECT('LOCCS Import'!$X$3&amp;"$A$3"):INDIRECT('LOCCS Import'!$X$3&amp;"$O$54"),8,)</f>
        <v>1.06</v>
      </c>
      <c r="AK45" s="1">
        <f ca="1">VLOOKUP(A45,INDIRECT('LOCCS Import'!$W$3&amp;"$A$3"):INDIRECT('LOCCS Import'!$W$3&amp;"$O$54"),8,)</f>
        <v>1.05</v>
      </c>
      <c r="AL45" s="1">
        <f ca="1">VLOOKUP(A45,INDIRECT('LOCCS Import'!$V$3&amp;"$A$3"):INDIRECT('LOCCS Import'!$V$3&amp;"$O$54"),8,)</f>
        <v>1.05</v>
      </c>
      <c r="AM45" s="1">
        <f ca="1">VLOOKUP(A45,INDIRECT('LOCCS Import'!$U$3&amp;"$A$3"):INDIRECT('LOCCS Import'!$U$3&amp;"$O$54"),8,)</f>
        <v>1.06</v>
      </c>
      <c r="AN45" s="1">
        <f ca="1">VLOOKUP(A45,INDIRECT('LOCCS Import'!$T$3&amp;"$A$3"):INDIRECT('LOCCS Import'!$T$3&amp;"$O$54"),8,)</f>
        <v>1.07</v>
      </c>
      <c r="AO45" s="1">
        <f ca="1">VLOOKUP(A45,INDIRECT('LOCCS Import'!$S$3&amp;"$A$3"):INDIRECT('LOCCS Import'!$S$3&amp;"$O$54"),8,)</f>
        <v>1.17</v>
      </c>
      <c r="AP45" s="1">
        <f ca="1">VLOOKUP(A45,INDIRECT('LOCCS Import'!$R$3&amp;"$A$3"):INDIRECT('LOCCS Import'!$R$3&amp;"$O$54"),8,)</f>
        <v>1.1100000000000001</v>
      </c>
      <c r="AQ45" s="1">
        <f ca="1">VLOOKUP(A45,INDIRECT('LOCCS Import'!$Q$3&amp;"$A$3"):INDIRECT('LOCCS Import'!$Q$3&amp;"$O$54"),8,)</f>
        <v>1.1000000000000001</v>
      </c>
      <c r="AR45" s="1">
        <f ca="1">VLOOKUP(A45,INDIRECT('LOCCS Import'!$P$3&amp;"$A$3"):INDIRECT('LOCCS Import'!$P$3&amp;"$O$54"),8,)</f>
        <v>1.1000000000000001</v>
      </c>
      <c r="AS45" s="1">
        <f ca="1">VLOOKUP(A45,INDIRECT('LOCCS Import'!$O$3&amp;"$A$3"):INDIRECT('LOCCS Import'!$O$3&amp;"$O$54"),8,)</f>
        <v>1.07</v>
      </c>
      <c r="AT45" s="1">
        <f ca="1">VLOOKUP(A45,INDIRECT('LOCCS Import'!$N$3&amp;"$A$3"):INDIRECT('LOCCS Import'!$N$3&amp;"$O$54"),8,)</f>
        <v>1.07</v>
      </c>
      <c r="AU45" s="1">
        <f ca="1">VLOOKUP(A45,INDIRECT('LOCCS Import'!$M$3&amp;"$A$3"):INDIRECT('LOCCS Import'!$M$3&amp;"$O$54"),8,)</f>
        <v>1.06</v>
      </c>
      <c r="AV45" s="1">
        <f ca="1">VLOOKUP(A45,INDIRECT('LOCCS Import'!$L$3&amp;"$A$3"):INDIRECT('LOCCS Import'!$L$3&amp;"$O$54"),8,)</f>
        <v>1.1200000000000001</v>
      </c>
      <c r="AW45" s="1">
        <f ca="1">VLOOKUP(A45,INDIRECT('LOCCS Import'!$K$3&amp;"$A$3"):INDIRECT('LOCCS Import'!$K$3&amp;"$O$54"),8,)</f>
        <v>1.0900000000000001</v>
      </c>
      <c r="AX45" s="1">
        <f ca="1">VLOOKUP(A45,INDIRECT('LOCCS Import'!$J$3&amp;"$A$3"):INDIRECT('LOCCS Import'!$J$3&amp;"$O$54"),8,)</f>
        <v>1.07</v>
      </c>
      <c r="AY45" s="1">
        <f ca="1">VLOOKUP(A45,INDIRECT('LOCCS Import'!$I$3&amp;"$A$3"):INDIRECT('LOCCS Import'!$I$3&amp;"$O$54"),8,)</f>
        <v>1.05</v>
      </c>
      <c r="AZ45" s="1">
        <f ca="1">VLOOKUP(A45,INDIRECT('LOCCS Import'!$H$3&amp;"$A$3"):INDIRECT('LOCCS Import'!$H$3&amp;"$O$54"),8,)</f>
        <v>1.01</v>
      </c>
      <c r="BA45" s="1">
        <f ca="1">VLOOKUP(A45,INDIRECT('LOCCS Import'!$G$3&amp;"$A$3"):INDIRECT('LOCCS Import'!$G$3&amp;"$O$54"),8,)</f>
        <v>0.85</v>
      </c>
      <c r="BB45" s="1">
        <f ca="1">VLOOKUP(A45,INDIRECT('LOCCS Import'!$F$3&amp;"$A$3"):INDIRECT('LOCCS Import'!$F$3&amp;"$O$54"),8,)</f>
        <v>0.88</v>
      </c>
      <c r="BC45" s="1">
        <f ca="1">VLOOKUP(A45,INDIRECT('LOCCS Import'!$E$3&amp;"$A$3"):INDIRECT('LOCCS Import'!$E$3&amp;"$O$54"),8,)</f>
        <v>0.92</v>
      </c>
      <c r="BD45" s="2">
        <f>VLOOKUP(A45,template!$A$3:$P$54,8,)</f>
        <v>0.91</v>
      </c>
      <c r="BE45" s="2">
        <f t="shared" ca="1" si="10"/>
        <v>1.0083333333333335</v>
      </c>
      <c r="BF45" s="109">
        <f t="shared" ca="1" si="5"/>
        <v>19</v>
      </c>
    </row>
    <row r="46" spans="1:58" x14ac:dyDescent="0.3">
      <c r="A46" s="64" t="s">
        <v>69</v>
      </c>
      <c r="B46" s="61" t="s">
        <v>155</v>
      </c>
      <c r="C46" s="61" t="s">
        <v>202</v>
      </c>
      <c r="D46" s="55">
        <f ca="1">VLOOKUP(A46,INDIRECT('LOCCS Import'!$AA$3&amp;"$A$3"):INDIRECT('LOCCS Import'!$AA$3&amp;"$O$54"),7,)</f>
        <v>1.1399999999999999</v>
      </c>
      <c r="E46" s="57">
        <f ca="1">VLOOKUP(A46,INDIRECT('LOCCS Import'!$Z$3&amp;"$A$3"):INDIRECT('LOCCS Import'!$Z$3&amp;"$O$54"),7,)</f>
        <v>1.06</v>
      </c>
      <c r="F46" s="57">
        <f ca="1">VLOOKUP(A46,INDIRECT('LOCCS Import'!$Y$3&amp;"$A$3"):INDIRECT('LOCCS Import'!$Y$3&amp;"$O$54"),7,)</f>
        <v>0.92</v>
      </c>
      <c r="G46" s="57">
        <f ca="1">VLOOKUP(A46,INDIRECT('LOCCS Import'!$X$3&amp;"$A$3"):INDIRECT('LOCCS Import'!$X$3&amp;"$O$54"),7,)</f>
        <v>0.92</v>
      </c>
      <c r="H46" s="57">
        <f ca="1">VLOOKUP(A46,INDIRECT('LOCCS Import'!$W$3&amp;"$A$3"):INDIRECT('LOCCS Import'!$W$3&amp;"$O$54"),7,)</f>
        <v>2.14</v>
      </c>
      <c r="I46" s="57">
        <f ca="1">VLOOKUP(A46,INDIRECT('LOCCS Import'!$V$3&amp;"$A$3"):INDIRECT('LOCCS Import'!$V$3&amp;"$O$54"),7,)</f>
        <v>2.08</v>
      </c>
      <c r="J46" s="57">
        <f ca="1">VLOOKUP(A46,INDIRECT('LOCCS Import'!$U$3&amp;"$A$3"):INDIRECT('LOCCS Import'!$U$3&amp;"$O$54"),7,)</f>
        <v>2</v>
      </c>
      <c r="K46" s="57">
        <f ca="1">VLOOKUP(A46,INDIRECT('LOCCS Import'!$T$3&amp;"$A$3"):INDIRECT('LOCCS Import'!$T$3&amp;"$O$54"),7,)</f>
        <v>1.86</v>
      </c>
      <c r="L46" s="57">
        <f ca="1">VLOOKUP(A46,INDIRECT('LOCCS Import'!$S$3&amp;"$A$3"):INDIRECT('LOCCS Import'!$S$3&amp;"$O$54"),7,)</f>
        <v>1.83</v>
      </c>
      <c r="M46" s="57">
        <f ca="1">VLOOKUP(A46,INDIRECT('LOCCS Import'!$R$3&amp;"$A$3"):INDIRECT('LOCCS Import'!$R$3&amp;"$O$54"),7,)</f>
        <v>1.63</v>
      </c>
      <c r="N46" s="57">
        <f ca="1">VLOOKUP(A46,INDIRECT('LOCCS Import'!$Q$3&amp;"$A$3"):INDIRECT('LOCCS Import'!$Q$3&amp;"$O$54"),7,)</f>
        <v>1.57</v>
      </c>
      <c r="O46" s="57">
        <f ca="1">VLOOKUP(A46,INDIRECT('LOCCS Import'!$P$3&amp;"$A$3"):INDIRECT('LOCCS Import'!$P$3&amp;"$O$54"),7,)</f>
        <v>1.57</v>
      </c>
      <c r="P46" s="57">
        <f ca="1">VLOOKUP(A46,INDIRECT('LOCCS Import'!$O$3&amp;"$A$3"):INDIRECT('LOCCS Import'!$O$3&amp;"$O$54"),7,)</f>
        <v>1.57</v>
      </c>
      <c r="Q46" s="57">
        <f ca="1">VLOOKUP(A46,INDIRECT('LOCCS Import'!$N$3&amp;"$A$3"):INDIRECT('LOCCS Import'!$N$3&amp;"$O$54"),7,)</f>
        <v>1.27</v>
      </c>
      <c r="R46" s="57">
        <f ca="1">VLOOKUP(A46,INDIRECT('LOCCS Import'!$M$3&amp;"$A$3"):INDIRECT('LOCCS Import'!$M$3&amp;"$O$54"),7,)</f>
        <v>0.87</v>
      </c>
      <c r="S46" s="57">
        <f ca="1">VLOOKUP(A46,INDIRECT('LOCCS Import'!$L$3&amp;"$A$3"):INDIRECT('LOCCS Import'!$L$3&amp;"$O$54"),7,)</f>
        <v>0.87</v>
      </c>
      <c r="T46" s="57">
        <f ca="1">VLOOKUP(A46,INDIRECT('LOCCS Import'!$K$3&amp;"$A$3"):INDIRECT('LOCCS Import'!$K$3&amp;"$O$54"),7,)</f>
        <v>0.87</v>
      </c>
      <c r="U46" s="57">
        <f ca="1">VLOOKUP(A46,INDIRECT('LOCCS Import'!$J$3&amp;"$A$3"):INDIRECT('LOCCS Import'!$J$3&amp;"$O$54"),7,)</f>
        <v>0.87</v>
      </c>
      <c r="V46" s="57">
        <f ca="1">VLOOKUP(A46,INDIRECT('LOCCS Import'!$I$3&amp;"$A$3"):INDIRECT('LOCCS Import'!$I$3&amp;"$O$54"),7,)</f>
        <v>0.82</v>
      </c>
      <c r="W46" s="57">
        <f ca="1">VLOOKUP(A46,INDIRECT('LOCCS Import'!$H$3&amp;"$A$3"):INDIRECT('LOCCS Import'!$H$3&amp;"$O$54"),7,)</f>
        <v>1.79</v>
      </c>
      <c r="X46" s="57">
        <f ca="1">VLOOKUP(A46,INDIRECT('LOCCS Import'!$G$3&amp;"$A$3"):INDIRECT('LOCCS Import'!$G$3&amp;"$O$54"),7,)</f>
        <v>1.75</v>
      </c>
      <c r="Y46" s="57">
        <f ca="1">VLOOKUP(A46,INDIRECT('LOCCS Import'!$F$3&amp;"$A$3"):INDIRECT('LOCCS Import'!$F$3&amp;"$O$54"),7,)</f>
        <v>1.72</v>
      </c>
      <c r="Z46" s="57">
        <f ca="1">VLOOKUP(A46,INDIRECT('LOCCS Import'!$E$3&amp;"$A$3"):INDIRECT('LOCCS Import'!$E$3&amp;"$O$54"),7,)</f>
        <v>1.71</v>
      </c>
      <c r="AA46" s="57">
        <f>VLOOKUP(A46,template!$A$3:$P$54,7,)</f>
        <v>1.62</v>
      </c>
      <c r="AB46" s="55">
        <f t="shared" ca="1" si="6"/>
        <v>1.79</v>
      </c>
      <c r="AC46" s="57">
        <f t="shared" ca="1" si="7"/>
        <v>0.82</v>
      </c>
      <c r="AD46" s="58">
        <f t="shared" ca="1" si="8"/>
        <v>1.3108333333333333</v>
      </c>
      <c r="AE46" s="80">
        <f t="shared" ca="1" si="9"/>
        <v>2</v>
      </c>
      <c r="AF46" s="127"/>
      <c r="AG46" s="3">
        <f ca="1">VLOOKUP(A46,INDIRECT('LOCCS Import'!$AA$3&amp;"$A$3"):INDIRECT('LOCCS Import'!$AA$3&amp;"$O$54"),8,)</f>
        <v>0.85</v>
      </c>
      <c r="AH46" s="1">
        <f ca="1">VLOOKUP(A46,INDIRECT('LOCCS Import'!$Z$3&amp;"$A$3"):INDIRECT('LOCCS Import'!$Z$3&amp;"$O$54"),8,)</f>
        <v>0.92</v>
      </c>
      <c r="AI46" s="1">
        <f ca="1">VLOOKUP(A46,INDIRECT('LOCCS Import'!$Y$3&amp;"$A$3"):INDIRECT('LOCCS Import'!$Y$3&amp;"$O$54"),8,)</f>
        <v>1.05</v>
      </c>
      <c r="AJ46" s="1">
        <f ca="1">VLOOKUP(A46,INDIRECT('LOCCS Import'!$X$3&amp;"$A$3"):INDIRECT('LOCCS Import'!$X$3&amp;"$O$54"),8,)</f>
        <v>0.83</v>
      </c>
      <c r="AK46" s="1">
        <f ca="1">VLOOKUP(A46,INDIRECT('LOCCS Import'!$W$3&amp;"$A$3"):INDIRECT('LOCCS Import'!$W$3&amp;"$O$54"),8,)</f>
        <v>1.02</v>
      </c>
      <c r="AL46" s="1">
        <f ca="1">VLOOKUP(A46,INDIRECT('LOCCS Import'!$V$3&amp;"$A$3"):INDIRECT('LOCCS Import'!$V$3&amp;"$O$54"),8,)</f>
        <v>1.02</v>
      </c>
      <c r="AM46" s="1">
        <f ca="1">VLOOKUP(A46,INDIRECT('LOCCS Import'!$U$3&amp;"$A$3"):INDIRECT('LOCCS Import'!$U$3&amp;"$O$54"),8,)</f>
        <v>1.06</v>
      </c>
      <c r="AN46" s="1">
        <f ca="1">VLOOKUP(A46,INDIRECT('LOCCS Import'!$T$3&amp;"$A$3"):INDIRECT('LOCCS Import'!$T$3&amp;"$O$54"),8,)</f>
        <v>1.2</v>
      </c>
      <c r="AO46" s="1">
        <f ca="1">VLOOKUP(A46,INDIRECT('LOCCS Import'!$S$3&amp;"$A$3"):INDIRECT('LOCCS Import'!$S$3&amp;"$O$54"),8,)</f>
        <v>0.88</v>
      </c>
      <c r="AP46" s="1">
        <f ca="1">VLOOKUP(A46,INDIRECT('LOCCS Import'!$R$3&amp;"$A$3"):INDIRECT('LOCCS Import'!$R$3&amp;"$O$54"),8,)</f>
        <v>0.88</v>
      </c>
      <c r="AQ46" s="1">
        <f ca="1">VLOOKUP(A46,INDIRECT('LOCCS Import'!$Q$3&amp;"$A$3"):INDIRECT('LOCCS Import'!$Q$3&amp;"$O$54"),8,)</f>
        <v>1.01</v>
      </c>
      <c r="AR46" s="1">
        <f ca="1">VLOOKUP(A46,INDIRECT('LOCCS Import'!$P$3&amp;"$A$3"):INDIRECT('LOCCS Import'!$P$3&amp;"$O$54"),8,)</f>
        <v>1.01</v>
      </c>
      <c r="AS46" s="1">
        <f ca="1">VLOOKUP(A46,INDIRECT('LOCCS Import'!$O$3&amp;"$A$3"):INDIRECT('LOCCS Import'!$O$3&amp;"$O$54"),8,)</f>
        <v>0.84</v>
      </c>
      <c r="AT46" s="1">
        <f ca="1">VLOOKUP(A46,INDIRECT('LOCCS Import'!$N$3&amp;"$A$3"):INDIRECT('LOCCS Import'!$N$3&amp;"$O$54"),8,)</f>
        <v>1.02</v>
      </c>
      <c r="AU46" s="1">
        <f ca="1">VLOOKUP(A46,INDIRECT('LOCCS Import'!$M$3&amp;"$A$3"):INDIRECT('LOCCS Import'!$M$3&amp;"$O$54"),8,)</f>
        <v>1.26</v>
      </c>
      <c r="AV46" s="1">
        <f ca="1">VLOOKUP(A46,INDIRECT('LOCCS Import'!$L$3&amp;"$A$3"):INDIRECT('LOCCS Import'!$L$3&amp;"$O$54"),8,)</f>
        <v>1.27</v>
      </c>
      <c r="AW46" s="1">
        <f ca="1">VLOOKUP(A46,INDIRECT('LOCCS Import'!$K$3&amp;"$A$3"):INDIRECT('LOCCS Import'!$K$3&amp;"$O$54"),8,)</f>
        <v>1.27</v>
      </c>
      <c r="AX46" s="1">
        <f ca="1">VLOOKUP(A46,INDIRECT('LOCCS Import'!$J$3&amp;"$A$3"):INDIRECT('LOCCS Import'!$J$3&amp;"$O$54"),8,)</f>
        <v>1.21</v>
      </c>
      <c r="AY46" s="1">
        <f ca="1">VLOOKUP(A46,INDIRECT('LOCCS Import'!$I$3&amp;"$A$3"):INDIRECT('LOCCS Import'!$I$3&amp;"$O$54"),8,)</f>
        <v>1.18</v>
      </c>
      <c r="AZ46" s="1">
        <f ca="1">VLOOKUP(A46,INDIRECT('LOCCS Import'!$H$3&amp;"$A$3"):INDIRECT('LOCCS Import'!$H$3&amp;"$O$54"),8,)</f>
        <v>1.05</v>
      </c>
      <c r="BA46" s="1">
        <f ca="1">VLOOKUP(A46,INDIRECT('LOCCS Import'!$G$3&amp;"$A$3"):INDIRECT('LOCCS Import'!$G$3&amp;"$O$54"),8,)</f>
        <v>1.07</v>
      </c>
      <c r="BB46" s="1">
        <f ca="1">VLOOKUP(A46,INDIRECT('LOCCS Import'!$F$3&amp;"$A$3"):INDIRECT('LOCCS Import'!$F$3&amp;"$O$54"),8,)</f>
        <v>0.88</v>
      </c>
      <c r="BC46" s="1">
        <f ca="1">VLOOKUP(A46,INDIRECT('LOCCS Import'!$E$3&amp;"$A$3"):INDIRECT('LOCCS Import'!$E$3&amp;"$O$54"),8,)</f>
        <v>0.84</v>
      </c>
      <c r="BD46" s="2">
        <f>VLOOKUP(A46,template!$A$3:$P$54,8,)</f>
        <v>0.93</v>
      </c>
      <c r="BE46" s="2">
        <f t="shared" ca="1" si="10"/>
        <v>1.0683333333333336</v>
      </c>
      <c r="BF46" s="109">
        <f t="shared" ca="1" si="5"/>
        <v>16</v>
      </c>
    </row>
    <row r="47" spans="1:58" x14ac:dyDescent="0.3">
      <c r="A47" s="64" t="s">
        <v>59</v>
      </c>
      <c r="B47" s="61" t="s">
        <v>157</v>
      </c>
      <c r="C47" s="61" t="s">
        <v>203</v>
      </c>
      <c r="D47" s="55">
        <f ca="1">VLOOKUP(A47,INDIRECT('LOCCS Import'!$AA$3&amp;"$A$3"):INDIRECT('LOCCS Import'!$AA$3&amp;"$O$54"),7,)</f>
        <v>2.27</v>
      </c>
      <c r="E47" s="57">
        <f ca="1">VLOOKUP(A47,INDIRECT('LOCCS Import'!$Z$3&amp;"$A$3"):INDIRECT('LOCCS Import'!$Z$3&amp;"$O$54"),7,)</f>
        <v>2.2599999999999998</v>
      </c>
      <c r="F47" s="57">
        <f ca="1">VLOOKUP(A47,INDIRECT('LOCCS Import'!$Y$3&amp;"$A$3"):INDIRECT('LOCCS Import'!$Y$3&amp;"$O$54"),7,)</f>
        <v>2.13</v>
      </c>
      <c r="G47" s="57">
        <f ca="1">VLOOKUP(A47,INDIRECT('LOCCS Import'!$X$3&amp;"$A$3"):INDIRECT('LOCCS Import'!$X$3&amp;"$O$54"),7,)</f>
        <v>2.0299999999999998</v>
      </c>
      <c r="H47" s="57">
        <f ca="1">VLOOKUP(A47,INDIRECT('LOCCS Import'!$W$3&amp;"$A$3"):INDIRECT('LOCCS Import'!$W$3&amp;"$O$54"),7,)</f>
        <v>1.92</v>
      </c>
      <c r="I47" s="57">
        <f ca="1">VLOOKUP(A47,INDIRECT('LOCCS Import'!$V$3&amp;"$A$3"):INDIRECT('LOCCS Import'!$V$3&amp;"$O$54"),7,)</f>
        <v>1.78</v>
      </c>
      <c r="J47" s="57">
        <f ca="1">VLOOKUP(A47,INDIRECT('LOCCS Import'!$U$3&amp;"$A$3"):INDIRECT('LOCCS Import'!$U$3&amp;"$O$54"),7,)</f>
        <v>2.7</v>
      </c>
      <c r="K47" s="57">
        <f ca="1">VLOOKUP(A47,INDIRECT('LOCCS Import'!$T$3&amp;"$A$3"):INDIRECT('LOCCS Import'!$T$3&amp;"$O$54"),7,)</f>
        <v>2.66</v>
      </c>
      <c r="L47" s="57">
        <f ca="1">VLOOKUP(A47,INDIRECT('LOCCS Import'!$S$3&amp;"$A$3"):INDIRECT('LOCCS Import'!$S$3&amp;"$O$54"),7,)</f>
        <v>2.63</v>
      </c>
      <c r="M47" s="57">
        <f ca="1">VLOOKUP(A47,INDIRECT('LOCCS Import'!$R$3&amp;"$A$3"):INDIRECT('LOCCS Import'!$R$3&amp;"$O$54"),7,)</f>
        <v>2.48</v>
      </c>
      <c r="N47" s="57">
        <f ca="1">VLOOKUP(A47,INDIRECT('LOCCS Import'!$Q$3&amp;"$A$3"):INDIRECT('LOCCS Import'!$Q$3&amp;"$O$54"),7,)</f>
        <v>2.2799999999999998</v>
      </c>
      <c r="O47" s="57">
        <f ca="1">VLOOKUP(A47,INDIRECT('LOCCS Import'!$P$3&amp;"$A$3"):INDIRECT('LOCCS Import'!$P$3&amp;"$O$54"),7,)</f>
        <v>2.2799999999999998</v>
      </c>
      <c r="P47" s="57">
        <f ca="1">VLOOKUP(A47,INDIRECT('LOCCS Import'!$O$3&amp;"$A$3"):INDIRECT('LOCCS Import'!$O$3&amp;"$O$54"),7,)</f>
        <v>1.79</v>
      </c>
      <c r="Q47" s="57">
        <f ca="1">VLOOKUP(A47,INDIRECT('LOCCS Import'!$N$3&amp;"$A$3"):INDIRECT('LOCCS Import'!$N$3&amp;"$O$54"),7,)</f>
        <v>1.73</v>
      </c>
      <c r="R47" s="57">
        <f ca="1">VLOOKUP(A47,INDIRECT('LOCCS Import'!$M$3&amp;"$A$3"):INDIRECT('LOCCS Import'!$M$3&amp;"$O$54"),7,)</f>
        <v>1.73</v>
      </c>
      <c r="S47" s="57">
        <f ca="1">VLOOKUP(A47,INDIRECT('LOCCS Import'!$L$3&amp;"$A$3"):INDIRECT('LOCCS Import'!$L$3&amp;"$O$54"),7,)</f>
        <v>1.7</v>
      </c>
      <c r="T47" s="57">
        <f ca="1">VLOOKUP(A47,INDIRECT('LOCCS Import'!$K$3&amp;"$A$3"):INDIRECT('LOCCS Import'!$K$3&amp;"$O$54"),7,)</f>
        <v>2.65</v>
      </c>
      <c r="U47" s="57">
        <f ca="1">VLOOKUP(A47,INDIRECT('LOCCS Import'!$J$3&amp;"$A$3"):INDIRECT('LOCCS Import'!$J$3&amp;"$O$54"),7,)</f>
        <v>2.61</v>
      </c>
      <c r="V47" s="57">
        <f ca="1">VLOOKUP(A47,INDIRECT('LOCCS Import'!$I$3&amp;"$A$3"):INDIRECT('LOCCS Import'!$I$3&amp;"$O$54"),7,)</f>
        <v>2.59</v>
      </c>
      <c r="W47" s="57">
        <f ca="1">VLOOKUP(A47,INDIRECT('LOCCS Import'!$H$3&amp;"$A$3"):INDIRECT('LOCCS Import'!$H$3&amp;"$O$54"),7,)</f>
        <v>2.5099999999999998</v>
      </c>
      <c r="X47" s="57">
        <f ca="1">VLOOKUP(A47,INDIRECT('LOCCS Import'!$G$3&amp;"$A$3"):INDIRECT('LOCCS Import'!$G$3&amp;"$O$54"),7,)</f>
        <v>2.46</v>
      </c>
      <c r="Y47" s="57">
        <f ca="1">VLOOKUP(A47,INDIRECT('LOCCS Import'!$F$3&amp;"$A$3"):INDIRECT('LOCCS Import'!$F$3&amp;"$O$54"),7,)</f>
        <v>2.39</v>
      </c>
      <c r="Z47" s="57">
        <f ca="1">VLOOKUP(A47,INDIRECT('LOCCS Import'!$E$3&amp;"$A$3"):INDIRECT('LOCCS Import'!$E$3&amp;"$O$54"),7,)</f>
        <v>2.37</v>
      </c>
      <c r="AA47" s="57">
        <f>VLOOKUP(A47,template!$A$3:$P$54,7,)</f>
        <v>2.25</v>
      </c>
      <c r="AB47" s="55">
        <f t="shared" ca="1" si="6"/>
        <v>2.65</v>
      </c>
      <c r="AC47" s="57">
        <f t="shared" ca="1" si="7"/>
        <v>1.7</v>
      </c>
      <c r="AD47" s="58">
        <f t="shared" ca="1" si="8"/>
        <v>2.2316666666666669</v>
      </c>
      <c r="AE47" s="80">
        <f t="shared" ca="1" si="9"/>
        <v>11</v>
      </c>
      <c r="AF47" s="127"/>
      <c r="AG47" s="3">
        <f ca="1">VLOOKUP(A47,INDIRECT('LOCCS Import'!$AA$3&amp;"$A$3"):INDIRECT('LOCCS Import'!$AA$3&amp;"$O$54"),8,)</f>
        <v>0.93</v>
      </c>
      <c r="AH47" s="1">
        <f ca="1">VLOOKUP(A47,INDIRECT('LOCCS Import'!$Z$3&amp;"$A$3"):INDIRECT('LOCCS Import'!$Z$3&amp;"$O$54"),8,)</f>
        <v>0.9</v>
      </c>
      <c r="AI47" s="1">
        <f ca="1">VLOOKUP(A47,INDIRECT('LOCCS Import'!$Y$3&amp;"$A$3"):INDIRECT('LOCCS Import'!$Y$3&amp;"$O$54"),8,)</f>
        <v>0.81</v>
      </c>
      <c r="AJ47" s="1">
        <f ca="1">VLOOKUP(A47,INDIRECT('LOCCS Import'!$X$3&amp;"$A$3"):INDIRECT('LOCCS Import'!$X$3&amp;"$O$54"),8,)</f>
        <v>0.87</v>
      </c>
      <c r="AK47" s="1">
        <f ca="1">VLOOKUP(A47,INDIRECT('LOCCS Import'!$W$3&amp;"$A$3"):INDIRECT('LOCCS Import'!$W$3&amp;"$O$54"),8,)</f>
        <v>0.94</v>
      </c>
      <c r="AL47" s="1">
        <f ca="1">VLOOKUP(A47,INDIRECT('LOCCS Import'!$V$3&amp;"$A$3"):INDIRECT('LOCCS Import'!$V$3&amp;"$O$54"),8,)</f>
        <v>0.99</v>
      </c>
      <c r="AM47" s="1">
        <f ca="1">VLOOKUP(A47,INDIRECT('LOCCS Import'!$U$3&amp;"$A$3"):INDIRECT('LOCCS Import'!$U$3&amp;"$O$54"),8,)</f>
        <v>0.96</v>
      </c>
      <c r="AN47" s="1">
        <f ca="1">VLOOKUP(A47,INDIRECT('LOCCS Import'!$T$3&amp;"$A$3"):INDIRECT('LOCCS Import'!$T$3&amp;"$O$54"),8,)</f>
        <v>0.97</v>
      </c>
      <c r="AO47" s="1">
        <f ca="1">VLOOKUP(A47,INDIRECT('LOCCS Import'!$S$3&amp;"$A$3"):INDIRECT('LOCCS Import'!$S$3&amp;"$O$54"),8,)</f>
        <v>0.99</v>
      </c>
      <c r="AP47" s="1">
        <f ca="1">VLOOKUP(A47,INDIRECT('LOCCS Import'!$R$3&amp;"$A$3"):INDIRECT('LOCCS Import'!$R$3&amp;"$O$54"),8,)</f>
        <v>0.98</v>
      </c>
      <c r="AQ47" s="1">
        <f ca="1">VLOOKUP(A47,INDIRECT('LOCCS Import'!$Q$3&amp;"$A$3"):INDIRECT('LOCCS Import'!$Q$3&amp;"$O$54"),8,)</f>
        <v>1.1200000000000001</v>
      </c>
      <c r="AR47" s="1">
        <f ca="1">VLOOKUP(A47,INDIRECT('LOCCS Import'!$P$3&amp;"$A$3"):INDIRECT('LOCCS Import'!$P$3&amp;"$O$54"),8,)</f>
        <v>1.1200000000000001</v>
      </c>
      <c r="AS47" s="1">
        <f ca="1">VLOOKUP(A47,INDIRECT('LOCCS Import'!$O$3&amp;"$A$3"):INDIRECT('LOCCS Import'!$O$3&amp;"$O$54"),8,)</f>
        <v>1.44</v>
      </c>
      <c r="AT47" s="1">
        <f ca="1">VLOOKUP(A47,INDIRECT('LOCCS Import'!$N$3&amp;"$A$3"):INDIRECT('LOCCS Import'!$N$3&amp;"$O$54"),8,)</f>
        <v>1.49</v>
      </c>
      <c r="AU47" s="1">
        <f ca="1">VLOOKUP(A47,INDIRECT('LOCCS Import'!$M$3&amp;"$A$3"):INDIRECT('LOCCS Import'!$M$3&amp;"$O$54"),8,)</f>
        <v>1.37</v>
      </c>
      <c r="AV47" s="1">
        <f ca="1">VLOOKUP(A47,INDIRECT('LOCCS Import'!$L$3&amp;"$A$3"):INDIRECT('LOCCS Import'!$L$3&amp;"$O$54"),8,)</f>
        <v>1.3</v>
      </c>
      <c r="AW47" s="1">
        <f ca="1">VLOOKUP(A47,INDIRECT('LOCCS Import'!$K$3&amp;"$A$3"):INDIRECT('LOCCS Import'!$K$3&amp;"$O$54"),8,)</f>
        <v>1.22</v>
      </c>
      <c r="AX47" s="1">
        <f ca="1">VLOOKUP(A47,INDIRECT('LOCCS Import'!$J$3&amp;"$A$3"):INDIRECT('LOCCS Import'!$J$3&amp;"$O$54"),8,)</f>
        <v>1.1299999999999999</v>
      </c>
      <c r="AY47" s="1">
        <f ca="1">VLOOKUP(A47,INDIRECT('LOCCS Import'!$I$3&amp;"$A$3"):INDIRECT('LOCCS Import'!$I$3&amp;"$O$54"),8,)</f>
        <v>1.1000000000000001</v>
      </c>
      <c r="AZ47" s="1">
        <f ca="1">VLOOKUP(A47,INDIRECT('LOCCS Import'!$H$3&amp;"$A$3"):INDIRECT('LOCCS Import'!$H$3&amp;"$O$54"),8,)</f>
        <v>1.1399999999999999</v>
      </c>
      <c r="BA47" s="1">
        <f ca="1">VLOOKUP(A47,INDIRECT('LOCCS Import'!$G$3&amp;"$A$3"):INDIRECT('LOCCS Import'!$G$3&amp;"$O$54"),8,)</f>
        <v>1.1599999999999999</v>
      </c>
      <c r="BB47" s="1">
        <f ca="1">VLOOKUP(A47,INDIRECT('LOCCS Import'!$F$3&amp;"$A$3"):INDIRECT('LOCCS Import'!$F$3&amp;"$O$54"),8,)</f>
        <v>1.08</v>
      </c>
      <c r="BC47" s="1">
        <f ca="1">VLOOKUP(A47,INDIRECT('LOCCS Import'!$E$3&amp;"$A$3"):INDIRECT('LOCCS Import'!$E$3&amp;"$O$54"),8,)</f>
        <v>0.9</v>
      </c>
      <c r="BD47" s="2">
        <f>VLOOKUP(A47,template!$A$3:$P$54,8,)</f>
        <v>0.79</v>
      </c>
      <c r="BE47" s="2">
        <f t="shared" ca="1" si="10"/>
        <v>1.1766666666666667</v>
      </c>
      <c r="BF47" s="109">
        <f t="shared" ca="1" si="5"/>
        <v>10</v>
      </c>
    </row>
    <row r="48" spans="1:58" x14ac:dyDescent="0.3">
      <c r="A48" s="64" t="s">
        <v>35</v>
      </c>
      <c r="B48" s="61" t="s">
        <v>157</v>
      </c>
      <c r="C48" s="61" t="s">
        <v>204</v>
      </c>
      <c r="D48" s="55">
        <f ca="1">VLOOKUP(A48,INDIRECT('LOCCS Import'!$AA$3&amp;"$A$3"):INDIRECT('LOCCS Import'!$AA$3&amp;"$O$54"),7,)</f>
        <v>3.52</v>
      </c>
      <c r="E48" s="57">
        <f ca="1">VLOOKUP(A48,INDIRECT('LOCCS Import'!$Z$3&amp;"$A$3"):INDIRECT('LOCCS Import'!$Z$3&amp;"$O$54"),7,)</f>
        <v>3.38</v>
      </c>
      <c r="F48" s="57">
        <f ca="1">VLOOKUP(A48,INDIRECT('LOCCS Import'!$Y$3&amp;"$A$3"):INDIRECT('LOCCS Import'!$Y$3&amp;"$O$54"),7,)</f>
        <v>3.34</v>
      </c>
      <c r="G48" s="57">
        <f ca="1">VLOOKUP(A48,INDIRECT('LOCCS Import'!$X$3&amp;"$A$3"):INDIRECT('LOCCS Import'!$X$3&amp;"$O$54"),7,)</f>
        <v>3.29</v>
      </c>
      <c r="H48" s="57">
        <f ca="1">VLOOKUP(A48,INDIRECT('LOCCS Import'!$W$3&amp;"$A$3"):INDIRECT('LOCCS Import'!$W$3&amp;"$O$54"),7,)</f>
        <v>3.24</v>
      </c>
      <c r="I48" s="57">
        <f ca="1">VLOOKUP(A48,INDIRECT('LOCCS Import'!$V$3&amp;"$A$3"):INDIRECT('LOCCS Import'!$V$3&amp;"$O$54"),7,)</f>
        <v>4.12</v>
      </c>
      <c r="J48" s="57">
        <f ca="1">VLOOKUP(A48,INDIRECT('LOCCS Import'!$U$3&amp;"$A$3"):INDIRECT('LOCCS Import'!$U$3&amp;"$O$54"),7,)</f>
        <v>4.05</v>
      </c>
      <c r="K48" s="57">
        <f ca="1">VLOOKUP(A48,INDIRECT('LOCCS Import'!$T$3&amp;"$A$3"):INDIRECT('LOCCS Import'!$T$3&amp;"$O$54"),7,)</f>
        <v>3.98</v>
      </c>
      <c r="L48" s="57">
        <f ca="1">VLOOKUP(A48,INDIRECT('LOCCS Import'!$S$3&amp;"$A$3"):INDIRECT('LOCCS Import'!$S$3&amp;"$O$54"),7,)</f>
        <v>3.93</v>
      </c>
      <c r="M48" s="57">
        <f ca="1">VLOOKUP(A48,INDIRECT('LOCCS Import'!$R$3&amp;"$A$3"):INDIRECT('LOCCS Import'!$R$3&amp;"$O$54"),7,)</f>
        <v>3.88</v>
      </c>
      <c r="N48" s="57">
        <f ca="1">VLOOKUP(A48,INDIRECT('LOCCS Import'!$Q$3&amp;"$A$3"):INDIRECT('LOCCS Import'!$Q$3&amp;"$O$54"),7,)</f>
        <v>3.8</v>
      </c>
      <c r="O48" s="57">
        <f ca="1">VLOOKUP(A48,INDIRECT('LOCCS Import'!$P$3&amp;"$A$3"):INDIRECT('LOCCS Import'!$P$3&amp;"$O$54"),7,)</f>
        <v>3.8</v>
      </c>
      <c r="P48" s="57">
        <f ca="1">VLOOKUP(A48,INDIRECT('LOCCS Import'!$O$3&amp;"$A$3"):INDIRECT('LOCCS Import'!$O$3&amp;"$O$54"),7,)</f>
        <v>3.69</v>
      </c>
      <c r="Q48" s="57">
        <f ca="1">VLOOKUP(A48,INDIRECT('LOCCS Import'!$N$3&amp;"$A$3"):INDIRECT('LOCCS Import'!$N$3&amp;"$O$54"),7,)</f>
        <v>3.63</v>
      </c>
      <c r="R48" s="57">
        <f ca="1">VLOOKUP(A48,INDIRECT('LOCCS Import'!$M$3&amp;"$A$3"):INDIRECT('LOCCS Import'!$M$3&amp;"$O$54"),7,)</f>
        <v>3.58</v>
      </c>
      <c r="S48" s="57">
        <f ca="1">VLOOKUP(A48,INDIRECT('LOCCS Import'!$L$3&amp;"$A$3"):INDIRECT('LOCCS Import'!$L$3&amp;"$O$54"),7,)</f>
        <v>3.54</v>
      </c>
      <c r="T48" s="57">
        <f ca="1">VLOOKUP(A48,INDIRECT('LOCCS Import'!$K$3&amp;"$A$3"):INDIRECT('LOCCS Import'!$K$3&amp;"$O$54"),7,)</f>
        <v>4.3899999999999997</v>
      </c>
      <c r="U48" s="57">
        <f ca="1">VLOOKUP(A48,INDIRECT('LOCCS Import'!$J$3&amp;"$A$3"):INDIRECT('LOCCS Import'!$J$3&amp;"$O$54"),7,)</f>
        <v>4.33</v>
      </c>
      <c r="V48" s="57">
        <f ca="1">VLOOKUP(A48,INDIRECT('LOCCS Import'!$I$3&amp;"$A$3"):INDIRECT('LOCCS Import'!$I$3&amp;"$O$54"),7,)</f>
        <v>4.3</v>
      </c>
      <c r="W48" s="57">
        <f ca="1">VLOOKUP(A48,INDIRECT('LOCCS Import'!$H$3&amp;"$A$3"):INDIRECT('LOCCS Import'!$H$3&amp;"$O$54"),7,)</f>
        <v>4.24</v>
      </c>
      <c r="X48" s="57">
        <f ca="1">VLOOKUP(A48,INDIRECT('LOCCS Import'!$G$3&amp;"$A$3"):INDIRECT('LOCCS Import'!$G$3&amp;"$O$54"),7,)</f>
        <v>4.2300000000000004</v>
      </c>
      <c r="Y48" s="57">
        <f ca="1">VLOOKUP(A48,INDIRECT('LOCCS Import'!$F$3&amp;"$A$3"):INDIRECT('LOCCS Import'!$F$3&amp;"$O$54"),7,)</f>
        <v>4.18</v>
      </c>
      <c r="Z48" s="57">
        <f ca="1">VLOOKUP(A48,INDIRECT('LOCCS Import'!$E$3&amp;"$A$3"):INDIRECT('LOCCS Import'!$E$3&amp;"$O$54"),7,)</f>
        <v>4.13</v>
      </c>
      <c r="AA48" s="57">
        <f>VLOOKUP(A48,template!$A$3:$P$54,7,)</f>
        <v>4.04</v>
      </c>
      <c r="AB48" s="55">
        <f t="shared" ca="1" si="6"/>
        <v>4.3899999999999997</v>
      </c>
      <c r="AC48" s="57">
        <f t="shared" ca="1" si="7"/>
        <v>3.54</v>
      </c>
      <c r="AD48" s="58">
        <f t="shared" ca="1" si="8"/>
        <v>4.0233333333333343</v>
      </c>
      <c r="AE48" s="80">
        <f t="shared" ca="1" si="9"/>
        <v>39</v>
      </c>
      <c r="AF48" s="127"/>
      <c r="AG48" s="3">
        <f ca="1">VLOOKUP(A48,INDIRECT('LOCCS Import'!$AA$3&amp;"$A$3"):INDIRECT('LOCCS Import'!$AA$3&amp;"$O$54"),8,)</f>
        <v>0.63</v>
      </c>
      <c r="AH48" s="1">
        <f ca="1">VLOOKUP(A48,INDIRECT('LOCCS Import'!$Z$3&amp;"$A$3"):INDIRECT('LOCCS Import'!$Z$3&amp;"$O$54"),8,)</f>
        <v>0.74</v>
      </c>
      <c r="AI48" s="1">
        <f ca="1">VLOOKUP(A48,INDIRECT('LOCCS Import'!$Y$3&amp;"$A$3"):INDIRECT('LOCCS Import'!$Y$3&amp;"$O$54"),8,)</f>
        <v>0.73</v>
      </c>
      <c r="AJ48" s="1">
        <f ca="1">VLOOKUP(A48,INDIRECT('LOCCS Import'!$X$3&amp;"$A$3"):INDIRECT('LOCCS Import'!$X$3&amp;"$O$54"),8,)</f>
        <v>0.72</v>
      </c>
      <c r="AK48" s="1">
        <f ca="1">VLOOKUP(A48,INDIRECT('LOCCS Import'!$W$3&amp;"$A$3"):INDIRECT('LOCCS Import'!$W$3&amp;"$O$54"),8,)</f>
        <v>0.72</v>
      </c>
      <c r="AL48" s="1">
        <f ca="1">VLOOKUP(A48,INDIRECT('LOCCS Import'!$V$3&amp;"$A$3"):INDIRECT('LOCCS Import'!$V$3&amp;"$O$54"),8,)</f>
        <v>0.72</v>
      </c>
      <c r="AM48" s="1">
        <f ca="1">VLOOKUP(A48,INDIRECT('LOCCS Import'!$U$3&amp;"$A$3"):INDIRECT('LOCCS Import'!$U$3&amp;"$O$54"),8,)</f>
        <v>0.76</v>
      </c>
      <c r="AN48" s="1">
        <f ca="1">VLOOKUP(A48,INDIRECT('LOCCS Import'!$T$3&amp;"$A$3"):INDIRECT('LOCCS Import'!$T$3&amp;"$O$54"),8,)</f>
        <v>0.75</v>
      </c>
      <c r="AO48" s="1">
        <f ca="1">VLOOKUP(A48,INDIRECT('LOCCS Import'!$S$3&amp;"$A$3"):INDIRECT('LOCCS Import'!$S$3&amp;"$O$54"),8,)</f>
        <v>0.77</v>
      </c>
      <c r="AP48" s="1">
        <f ca="1">VLOOKUP(A48,INDIRECT('LOCCS Import'!$R$3&amp;"$A$3"):INDIRECT('LOCCS Import'!$R$3&amp;"$O$54"),8,)</f>
        <v>0.76</v>
      </c>
      <c r="AQ48" s="1">
        <f ca="1">VLOOKUP(A48,INDIRECT('LOCCS Import'!$Q$3&amp;"$A$3"):INDIRECT('LOCCS Import'!$Q$3&amp;"$O$54"),8,)</f>
        <v>0.76</v>
      </c>
      <c r="AR48" s="1">
        <f ca="1">VLOOKUP(A48,INDIRECT('LOCCS Import'!$P$3&amp;"$A$3"):INDIRECT('LOCCS Import'!$P$3&amp;"$O$54"),8,)</f>
        <v>0.76</v>
      </c>
      <c r="AS48" s="1">
        <f ca="1">VLOOKUP(A48,INDIRECT('LOCCS Import'!$O$3&amp;"$A$3"):INDIRECT('LOCCS Import'!$O$3&amp;"$O$54"),8,)</f>
        <v>0.78</v>
      </c>
      <c r="AT48" s="1">
        <f ca="1">VLOOKUP(A48,INDIRECT('LOCCS Import'!$N$3&amp;"$A$3"):INDIRECT('LOCCS Import'!$N$3&amp;"$O$54"),8,)</f>
        <v>0.69</v>
      </c>
      <c r="AU48" s="1">
        <f ca="1">VLOOKUP(A48,INDIRECT('LOCCS Import'!$M$3&amp;"$A$3"):INDIRECT('LOCCS Import'!$M$3&amp;"$O$54"),8,)</f>
        <v>0.7</v>
      </c>
      <c r="AV48" s="1">
        <f ca="1">VLOOKUP(A48,INDIRECT('LOCCS Import'!$L$3&amp;"$A$3"):INDIRECT('LOCCS Import'!$L$3&amp;"$O$54"),8,)</f>
        <v>0.69</v>
      </c>
      <c r="AW48" s="1">
        <f ca="1">VLOOKUP(A48,INDIRECT('LOCCS Import'!$K$3&amp;"$A$3"):INDIRECT('LOCCS Import'!$K$3&amp;"$O$54"),8,)</f>
        <v>0.73</v>
      </c>
      <c r="AX48" s="1">
        <f ca="1">VLOOKUP(A48,INDIRECT('LOCCS Import'!$J$3&amp;"$A$3"):INDIRECT('LOCCS Import'!$J$3&amp;"$O$54"),8,)</f>
        <v>0.72</v>
      </c>
      <c r="AY48" s="1">
        <f ca="1">VLOOKUP(A48,INDIRECT('LOCCS Import'!$I$3&amp;"$A$3"):INDIRECT('LOCCS Import'!$I$3&amp;"$O$54"),8,)</f>
        <v>0.68</v>
      </c>
      <c r="AZ48" s="1">
        <f ca="1">VLOOKUP(A48,INDIRECT('LOCCS Import'!$H$3&amp;"$A$3"):INDIRECT('LOCCS Import'!$H$3&amp;"$O$54"),8,)</f>
        <v>0.67</v>
      </c>
      <c r="BA48" s="1">
        <f ca="1">VLOOKUP(A48,INDIRECT('LOCCS Import'!$G$3&amp;"$A$3"):INDIRECT('LOCCS Import'!$G$3&amp;"$O$54"),8,)</f>
        <v>0.64</v>
      </c>
      <c r="BB48" s="1">
        <f ca="1">VLOOKUP(A48,INDIRECT('LOCCS Import'!$F$3&amp;"$A$3"):INDIRECT('LOCCS Import'!$F$3&amp;"$O$54"),8,)</f>
        <v>0.62</v>
      </c>
      <c r="BC48" s="1">
        <f ca="1">VLOOKUP(A48,INDIRECT('LOCCS Import'!$E$3&amp;"$A$3"):INDIRECT('LOCCS Import'!$E$3&amp;"$O$54"),8,)</f>
        <v>0.6</v>
      </c>
      <c r="BD48" s="2">
        <f>VLOOKUP(A48,template!$A$3:$P$54,8,)</f>
        <v>0.63</v>
      </c>
      <c r="BE48" s="2">
        <f t="shared" ca="1" si="10"/>
        <v>0.67916666666666659</v>
      </c>
      <c r="BF48" s="109">
        <f t="shared" ca="1" si="5"/>
        <v>46</v>
      </c>
    </row>
    <row r="49" spans="1:58" x14ac:dyDescent="0.3">
      <c r="A49" s="64" t="s">
        <v>52</v>
      </c>
      <c r="B49" s="61" t="s">
        <v>167</v>
      </c>
      <c r="C49" s="61" t="s">
        <v>205</v>
      </c>
      <c r="D49" s="55">
        <f ca="1">VLOOKUP(A49,INDIRECT('LOCCS Import'!$AA$3&amp;"$A$3"):INDIRECT('LOCCS Import'!$AA$3&amp;"$O$54"),7,)</f>
        <v>2.5299999999999998</v>
      </c>
      <c r="E49" s="57">
        <f ca="1">VLOOKUP(A49,INDIRECT('LOCCS Import'!$Z$3&amp;"$A$3"):INDIRECT('LOCCS Import'!$Z$3&amp;"$O$54"),7,)</f>
        <v>2.4300000000000002</v>
      </c>
      <c r="F49" s="57">
        <f ca="1">VLOOKUP(A49,INDIRECT('LOCCS Import'!$Y$3&amp;"$A$3"):INDIRECT('LOCCS Import'!$Y$3&amp;"$O$54"),7,)</f>
        <v>2.31</v>
      </c>
      <c r="G49" s="57">
        <f ca="1">VLOOKUP(A49,INDIRECT('LOCCS Import'!$X$3&amp;"$A$3"):INDIRECT('LOCCS Import'!$X$3&amp;"$O$54"),7,)</f>
        <v>2.17</v>
      </c>
      <c r="H49" s="57">
        <f ca="1">VLOOKUP(A49,INDIRECT('LOCCS Import'!$W$3&amp;"$A$3"):INDIRECT('LOCCS Import'!$W$3&amp;"$O$54"),7,)</f>
        <v>3.05</v>
      </c>
      <c r="I49" s="57">
        <f ca="1">VLOOKUP(A49,INDIRECT('LOCCS Import'!$V$3&amp;"$A$3"):INDIRECT('LOCCS Import'!$V$3&amp;"$O$54"),7,)</f>
        <v>2.94</v>
      </c>
      <c r="J49" s="57">
        <f ca="1">VLOOKUP(A49,INDIRECT('LOCCS Import'!$U$3&amp;"$A$3"):INDIRECT('LOCCS Import'!$U$3&amp;"$O$54"),7,)</f>
        <v>2.81</v>
      </c>
      <c r="K49" s="57">
        <f ca="1">VLOOKUP(A49,INDIRECT('LOCCS Import'!$T$3&amp;"$A$3"):INDIRECT('LOCCS Import'!$T$3&amp;"$O$54"),7,)</f>
        <v>2.73</v>
      </c>
      <c r="L49" s="57">
        <f ca="1">VLOOKUP(A49,INDIRECT('LOCCS Import'!$S$3&amp;"$A$3"):INDIRECT('LOCCS Import'!$S$3&amp;"$O$54"),7,)</f>
        <v>2.64</v>
      </c>
      <c r="M49" s="57">
        <f ca="1">VLOOKUP(A49,INDIRECT('LOCCS Import'!$R$3&amp;"$A$3"):INDIRECT('LOCCS Import'!$R$3&amp;"$O$54"),7,)</f>
        <v>2.58</v>
      </c>
      <c r="N49" s="57">
        <f ca="1">VLOOKUP(A49,INDIRECT('LOCCS Import'!$Q$3&amp;"$A$3"):INDIRECT('LOCCS Import'!$Q$3&amp;"$O$54"),7,)</f>
        <v>2.5099999999999998</v>
      </c>
      <c r="O49" s="57">
        <f ca="1">VLOOKUP(A49,INDIRECT('LOCCS Import'!$P$3&amp;"$A$3"):INDIRECT('LOCCS Import'!$P$3&amp;"$O$54"),7,)</f>
        <v>2.5099999999999998</v>
      </c>
      <c r="P49" s="57">
        <f ca="1">VLOOKUP(A49,INDIRECT('LOCCS Import'!$O$3&amp;"$A$3"):INDIRECT('LOCCS Import'!$O$3&amp;"$O$54"),7,)</f>
        <v>2.38</v>
      </c>
      <c r="Q49" s="57">
        <f ca="1">VLOOKUP(A49,INDIRECT('LOCCS Import'!$N$3&amp;"$A$3"):INDIRECT('LOCCS Import'!$N$3&amp;"$O$54"),7,)</f>
        <v>2.33</v>
      </c>
      <c r="R49" s="57">
        <f ca="1">VLOOKUP(A49,INDIRECT('LOCCS Import'!$M$3&amp;"$A$3"):INDIRECT('LOCCS Import'!$M$3&amp;"$O$54"),7,)</f>
        <v>2.23</v>
      </c>
      <c r="S49" s="57">
        <f ca="1">VLOOKUP(A49,INDIRECT('LOCCS Import'!$L$3&amp;"$A$3"):INDIRECT('LOCCS Import'!$L$3&amp;"$O$54"),7,)</f>
        <v>2.19</v>
      </c>
      <c r="T49" s="57">
        <f ca="1">VLOOKUP(A49,INDIRECT('LOCCS Import'!$K$3&amp;"$A$3"):INDIRECT('LOCCS Import'!$K$3&amp;"$O$54"),7,)</f>
        <v>3.14</v>
      </c>
      <c r="U49" s="57">
        <f ca="1">VLOOKUP(A49,INDIRECT('LOCCS Import'!$J$3&amp;"$A$3"):INDIRECT('LOCCS Import'!$J$3&amp;"$O$54"),7,)</f>
        <v>3.07</v>
      </c>
      <c r="V49" s="57">
        <f ca="1">VLOOKUP(A49,INDIRECT('LOCCS Import'!$I$3&amp;"$A$3"):INDIRECT('LOCCS Import'!$I$3&amp;"$O$54"),7,)</f>
        <v>2.95</v>
      </c>
      <c r="W49" s="57">
        <f ca="1">VLOOKUP(A49,INDIRECT('LOCCS Import'!$H$3&amp;"$A$3"):INDIRECT('LOCCS Import'!$H$3&amp;"$O$54"),7,)</f>
        <v>2.92</v>
      </c>
      <c r="X49" s="57">
        <f ca="1">VLOOKUP(A49,INDIRECT('LOCCS Import'!$G$3&amp;"$A$3"):INDIRECT('LOCCS Import'!$G$3&amp;"$O$54"),7,)</f>
        <v>2.89</v>
      </c>
      <c r="Y49" s="57">
        <f ca="1">VLOOKUP(A49,INDIRECT('LOCCS Import'!$F$3&amp;"$A$3"):INDIRECT('LOCCS Import'!$F$3&amp;"$O$54"),7,)</f>
        <v>2.84</v>
      </c>
      <c r="Z49" s="57">
        <f ca="1">VLOOKUP(A49,INDIRECT('LOCCS Import'!$E$3&amp;"$A$3"):INDIRECT('LOCCS Import'!$E$3&amp;"$O$54"),7,)</f>
        <v>2.75</v>
      </c>
      <c r="AA49" s="57">
        <f>VLOOKUP(A49,template!$A$3:$P$54,7,)</f>
        <v>2.67</v>
      </c>
      <c r="AB49" s="55">
        <f t="shared" ca="1" si="6"/>
        <v>3.14</v>
      </c>
      <c r="AC49" s="57">
        <f t="shared" ca="1" si="7"/>
        <v>2.19</v>
      </c>
      <c r="AD49" s="58">
        <f t="shared" ca="1" si="8"/>
        <v>2.6966666666666668</v>
      </c>
      <c r="AE49" s="80">
        <f t="shared" ca="1" si="9"/>
        <v>17</v>
      </c>
      <c r="AF49" s="127"/>
      <c r="AG49" s="3">
        <f ca="1">VLOOKUP(A49,INDIRECT('LOCCS Import'!$AA$3&amp;"$A$3"):INDIRECT('LOCCS Import'!$AA$3&amp;"$O$54"),8,)</f>
        <v>0.87</v>
      </c>
      <c r="AH49" s="1">
        <f ca="1">VLOOKUP(A49,INDIRECT('LOCCS Import'!$Z$3&amp;"$A$3"):INDIRECT('LOCCS Import'!$Z$3&amp;"$O$54"),8,)</f>
        <v>0.92</v>
      </c>
      <c r="AI49" s="1">
        <f ca="1">VLOOKUP(A49,INDIRECT('LOCCS Import'!$Y$3&amp;"$A$3"):INDIRECT('LOCCS Import'!$Y$3&amp;"$O$54"),8,)</f>
        <v>1.02</v>
      </c>
      <c r="AJ49" s="1">
        <f ca="1">VLOOKUP(A49,INDIRECT('LOCCS Import'!$X$3&amp;"$A$3"):INDIRECT('LOCCS Import'!$X$3&amp;"$O$54"),8,)</f>
        <v>1.1000000000000001</v>
      </c>
      <c r="AK49" s="1">
        <f ca="1">VLOOKUP(A49,INDIRECT('LOCCS Import'!$W$3&amp;"$A$3"):INDIRECT('LOCCS Import'!$W$3&amp;"$O$54"),8,)</f>
        <v>1.1100000000000001</v>
      </c>
      <c r="AL49" s="1">
        <f ca="1">VLOOKUP(A49,INDIRECT('LOCCS Import'!$V$3&amp;"$A$3"):INDIRECT('LOCCS Import'!$V$3&amp;"$O$54"),8,)</f>
        <v>1.17</v>
      </c>
      <c r="AM49" s="1">
        <f ca="1">VLOOKUP(A49,INDIRECT('LOCCS Import'!$U$3&amp;"$A$3"):INDIRECT('LOCCS Import'!$U$3&amp;"$O$54"),8,)</f>
        <v>1.19</v>
      </c>
      <c r="AN49" s="1">
        <f ca="1">VLOOKUP(A49,INDIRECT('LOCCS Import'!$T$3&amp;"$A$3"):INDIRECT('LOCCS Import'!$T$3&amp;"$O$54"),8,)</f>
        <v>1.18</v>
      </c>
      <c r="AO49" s="1">
        <f ca="1">VLOOKUP(A49,INDIRECT('LOCCS Import'!$S$3&amp;"$A$3"):INDIRECT('LOCCS Import'!$S$3&amp;"$O$54"),8,)</f>
        <v>1.22</v>
      </c>
      <c r="AP49" s="1">
        <f ca="1">VLOOKUP(A49,INDIRECT('LOCCS Import'!$R$3&amp;"$A$3"):INDIRECT('LOCCS Import'!$R$3&amp;"$O$54"),8,)</f>
        <v>1.1599999999999999</v>
      </c>
      <c r="AQ49" s="1">
        <f ca="1">VLOOKUP(A49,INDIRECT('LOCCS Import'!$Q$3&amp;"$A$3"):INDIRECT('LOCCS Import'!$Q$3&amp;"$O$54"),8,)</f>
        <v>1.17</v>
      </c>
      <c r="AR49" s="1">
        <f ca="1">VLOOKUP(A49,INDIRECT('LOCCS Import'!$P$3&amp;"$A$3"):INDIRECT('LOCCS Import'!$P$3&amp;"$O$54"),8,)</f>
        <v>1.17</v>
      </c>
      <c r="AS49" s="1">
        <f ca="1">VLOOKUP(A49,INDIRECT('LOCCS Import'!$O$3&amp;"$A$3"):INDIRECT('LOCCS Import'!$O$3&amp;"$O$54"),8,)</f>
        <v>1.0900000000000001</v>
      </c>
      <c r="AT49" s="1">
        <f ca="1">VLOOKUP(A49,INDIRECT('LOCCS Import'!$N$3&amp;"$A$3"):INDIRECT('LOCCS Import'!$N$3&amp;"$O$54"),8,)</f>
        <v>1.05</v>
      </c>
      <c r="AU49" s="1">
        <f ca="1">VLOOKUP(A49,INDIRECT('LOCCS Import'!$M$3&amp;"$A$3"):INDIRECT('LOCCS Import'!$M$3&amp;"$O$54"),8,)</f>
        <v>0.99</v>
      </c>
      <c r="AV49" s="1">
        <f ca="1">VLOOKUP(A49,INDIRECT('LOCCS Import'!$L$3&amp;"$A$3"):INDIRECT('LOCCS Import'!$L$3&amp;"$O$54"),8,)</f>
        <v>0.94</v>
      </c>
      <c r="AW49" s="1">
        <f ca="1">VLOOKUP(A49,INDIRECT('LOCCS Import'!$K$3&amp;"$A$3"):INDIRECT('LOCCS Import'!$K$3&amp;"$O$54"),8,)</f>
        <v>0.91</v>
      </c>
      <c r="AX49" s="1">
        <f ca="1">VLOOKUP(A49,INDIRECT('LOCCS Import'!$J$3&amp;"$A$3"):INDIRECT('LOCCS Import'!$J$3&amp;"$O$54"),8,)</f>
        <v>0.86</v>
      </c>
      <c r="AY49" s="1">
        <f ca="1">VLOOKUP(A49,INDIRECT('LOCCS Import'!$I$3&amp;"$A$3"):INDIRECT('LOCCS Import'!$I$3&amp;"$O$54"),8,)</f>
        <v>0.86</v>
      </c>
      <c r="AZ49" s="1">
        <f ca="1">VLOOKUP(A49,INDIRECT('LOCCS Import'!$H$3&amp;"$A$3"):INDIRECT('LOCCS Import'!$H$3&amp;"$O$54"),8,)</f>
        <v>0.82</v>
      </c>
      <c r="BA49" s="1">
        <f ca="1">VLOOKUP(A49,INDIRECT('LOCCS Import'!$G$3&amp;"$A$3"):INDIRECT('LOCCS Import'!$G$3&amp;"$O$54"),8,)</f>
        <v>0.75</v>
      </c>
      <c r="BB49" s="1">
        <f ca="1">VLOOKUP(A49,INDIRECT('LOCCS Import'!$F$3&amp;"$A$3"):INDIRECT('LOCCS Import'!$F$3&amp;"$O$54"),8,)</f>
        <v>0.74</v>
      </c>
      <c r="BC49" s="1">
        <f ca="1">VLOOKUP(A49,INDIRECT('LOCCS Import'!$E$3&amp;"$A$3"):INDIRECT('LOCCS Import'!$E$3&amp;"$O$54"),8,)</f>
        <v>0.76</v>
      </c>
      <c r="BD49" s="2">
        <f>VLOOKUP(A49,template!$A$3:$P$54,8,)</f>
        <v>0.83</v>
      </c>
      <c r="BE49" s="2">
        <f t="shared" ca="1" si="10"/>
        <v>0.88333333333333341</v>
      </c>
      <c r="BF49" s="109">
        <f t="shared" ca="1" si="5"/>
        <v>33</v>
      </c>
    </row>
    <row r="50" spans="1:58" x14ac:dyDescent="0.3">
      <c r="A50" s="64" t="s">
        <v>22</v>
      </c>
      <c r="B50" s="61" t="s">
        <v>157</v>
      </c>
      <c r="C50" s="61" t="s">
        <v>206</v>
      </c>
      <c r="D50" s="55">
        <f ca="1">VLOOKUP(A50,INDIRECT('LOCCS Import'!$AA$3&amp;"$A$3"):INDIRECT('LOCCS Import'!$AA$3&amp;"$O$54"),7,)</f>
        <v>4.9800000000000004</v>
      </c>
      <c r="E50" s="57">
        <f ca="1">VLOOKUP(A50,INDIRECT('LOCCS Import'!$Z$3&amp;"$A$3"):INDIRECT('LOCCS Import'!$Z$3&amp;"$O$54"),7,)</f>
        <v>4.92</v>
      </c>
      <c r="F50" s="57">
        <f ca="1">VLOOKUP(A50,INDIRECT('LOCCS Import'!$Y$3&amp;"$A$3"):INDIRECT('LOCCS Import'!$Y$3&amp;"$O$54"),7,)</f>
        <v>4.8</v>
      </c>
      <c r="G50" s="57">
        <f ca="1">VLOOKUP(A50,INDIRECT('LOCCS Import'!$X$3&amp;"$A$3"):INDIRECT('LOCCS Import'!$X$3&amp;"$O$54"),7,)</f>
        <v>4.74</v>
      </c>
      <c r="H50" s="57">
        <f ca="1">VLOOKUP(A50,INDIRECT('LOCCS Import'!$W$3&amp;"$A$3"):INDIRECT('LOCCS Import'!$W$3&amp;"$O$54"),7,)</f>
        <v>5.78</v>
      </c>
      <c r="I50" s="57">
        <f ca="1">VLOOKUP(A50,INDIRECT('LOCCS Import'!$V$3&amp;"$A$3"):INDIRECT('LOCCS Import'!$V$3&amp;"$O$54"),7,)</f>
        <v>5.66</v>
      </c>
      <c r="J50" s="57">
        <f ca="1">VLOOKUP(A50,INDIRECT('LOCCS Import'!$U$3&amp;"$A$3"):INDIRECT('LOCCS Import'!$U$3&amp;"$O$54"),7,)</f>
        <v>5.63</v>
      </c>
      <c r="K50" s="57">
        <f ca="1">VLOOKUP(A50,INDIRECT('LOCCS Import'!$T$3&amp;"$A$3"):INDIRECT('LOCCS Import'!$T$3&amp;"$O$54"),7,)</f>
        <v>5.59</v>
      </c>
      <c r="L50" s="57">
        <f ca="1">VLOOKUP(A50,INDIRECT('LOCCS Import'!$S$3&amp;"$A$3"):INDIRECT('LOCCS Import'!$S$3&amp;"$O$54"),7,)</f>
        <v>5.5</v>
      </c>
      <c r="M50" s="57">
        <f ca="1">VLOOKUP(A50,INDIRECT('LOCCS Import'!$R$3&amp;"$A$3"):INDIRECT('LOCCS Import'!$R$3&amp;"$O$54"),7,)</f>
        <v>5.49</v>
      </c>
      <c r="N50" s="57">
        <f ca="1">VLOOKUP(A50,INDIRECT('LOCCS Import'!$Q$3&amp;"$A$3"):INDIRECT('LOCCS Import'!$Q$3&amp;"$O$54"),7,)</f>
        <v>5.33</v>
      </c>
      <c r="O50" s="57">
        <f ca="1">VLOOKUP(A50,INDIRECT('LOCCS Import'!$P$3&amp;"$A$3"):INDIRECT('LOCCS Import'!$P$3&amp;"$O$54"),7,)</f>
        <v>5.33</v>
      </c>
      <c r="P50" s="57">
        <f ca="1">VLOOKUP(A50,INDIRECT('LOCCS Import'!$O$3&amp;"$A$3"):INDIRECT('LOCCS Import'!$O$3&amp;"$O$54"),7,)</f>
        <v>5.25</v>
      </c>
      <c r="Q50" s="57">
        <f ca="1">VLOOKUP(A50,INDIRECT('LOCCS Import'!$N$3&amp;"$A$3"):INDIRECT('LOCCS Import'!$N$3&amp;"$O$54"),7,)</f>
        <v>5.2</v>
      </c>
      <c r="R50" s="57">
        <f ca="1">VLOOKUP(A50,INDIRECT('LOCCS Import'!$M$3&amp;"$A$3"):INDIRECT('LOCCS Import'!$M$3&amp;"$O$54"),7,)</f>
        <v>5.04</v>
      </c>
      <c r="S50" s="57">
        <f ca="1">VLOOKUP(A50,INDIRECT('LOCCS Import'!$L$3&amp;"$A$3"):INDIRECT('LOCCS Import'!$L$3&amp;"$O$54"),7,)</f>
        <v>4.9000000000000004</v>
      </c>
      <c r="T50" s="57">
        <f ca="1">VLOOKUP(A50,INDIRECT('LOCCS Import'!$K$3&amp;"$A$3"):INDIRECT('LOCCS Import'!$K$3&amp;"$O$54"),7,)</f>
        <v>5.86</v>
      </c>
      <c r="U50" s="57">
        <f ca="1">VLOOKUP(A50,INDIRECT('LOCCS Import'!$J$3&amp;"$A$3"):INDIRECT('LOCCS Import'!$J$3&amp;"$O$54"),7,)</f>
        <v>5.78</v>
      </c>
      <c r="V50" s="57">
        <f ca="1">VLOOKUP(A50,INDIRECT('LOCCS Import'!$I$3&amp;"$A$3"):INDIRECT('LOCCS Import'!$I$3&amp;"$O$54"),7,)</f>
        <v>5.73</v>
      </c>
      <c r="W50" s="57">
        <f ca="1">VLOOKUP(A50,INDIRECT('LOCCS Import'!$H$3&amp;"$A$3"):INDIRECT('LOCCS Import'!$H$3&amp;"$O$54"),7,)</f>
        <v>5.68</v>
      </c>
      <c r="X50" s="57">
        <f ca="1">VLOOKUP(A50,INDIRECT('LOCCS Import'!$G$3&amp;"$A$3"):INDIRECT('LOCCS Import'!$G$3&amp;"$O$54"),7,)</f>
        <v>5.63</v>
      </c>
      <c r="Y50" s="57">
        <f ca="1">VLOOKUP(A50,INDIRECT('LOCCS Import'!$F$3&amp;"$A$3"):INDIRECT('LOCCS Import'!$F$3&amp;"$O$54"),7,)</f>
        <v>5.56</v>
      </c>
      <c r="Z50" s="57">
        <f ca="1">VLOOKUP(A50,INDIRECT('LOCCS Import'!$E$3&amp;"$A$3"):INDIRECT('LOCCS Import'!$E$3&amp;"$O$54"),7,)</f>
        <v>5.52</v>
      </c>
      <c r="AA50" s="57">
        <f>VLOOKUP(A50,template!$A$3:$P$54,7,)</f>
        <v>5.49</v>
      </c>
      <c r="AB50" s="55">
        <f t="shared" ca="1" si="6"/>
        <v>5.86</v>
      </c>
      <c r="AC50" s="57">
        <f t="shared" ca="1" si="7"/>
        <v>4.9000000000000004</v>
      </c>
      <c r="AD50" s="58">
        <f t="shared" ca="1" si="8"/>
        <v>5.47</v>
      </c>
      <c r="AE50" s="80">
        <f t="shared" ca="1" si="9"/>
        <v>49</v>
      </c>
      <c r="AF50" s="127"/>
      <c r="AG50" s="3">
        <f ca="1">VLOOKUP(A50,INDIRECT('LOCCS Import'!$AA$3&amp;"$A$3"):INDIRECT('LOCCS Import'!$AA$3&amp;"$O$54"),8,)</f>
        <v>0.74</v>
      </c>
      <c r="AH50" s="1">
        <f ca="1">VLOOKUP(A50,INDIRECT('LOCCS Import'!$Z$3&amp;"$A$3"):INDIRECT('LOCCS Import'!$Z$3&amp;"$O$54"),8,)</f>
        <v>0.8</v>
      </c>
      <c r="AI50" s="1">
        <f ca="1">VLOOKUP(A50,INDIRECT('LOCCS Import'!$Y$3&amp;"$A$3"):INDIRECT('LOCCS Import'!$Y$3&amp;"$O$54"),8,)</f>
        <v>0.88</v>
      </c>
      <c r="AJ50" s="1">
        <f ca="1">VLOOKUP(A50,INDIRECT('LOCCS Import'!$X$3&amp;"$A$3"):INDIRECT('LOCCS Import'!$X$3&amp;"$O$54"),8,)</f>
        <v>0.88</v>
      </c>
      <c r="AK50" s="1">
        <f ca="1">VLOOKUP(A50,INDIRECT('LOCCS Import'!$W$3&amp;"$A$3"):INDIRECT('LOCCS Import'!$W$3&amp;"$O$54"),8,)</f>
        <v>0.9</v>
      </c>
      <c r="AL50" s="1">
        <f ca="1">VLOOKUP(A50,INDIRECT('LOCCS Import'!$V$3&amp;"$A$3"):INDIRECT('LOCCS Import'!$V$3&amp;"$O$54"),8,)</f>
        <v>0.93</v>
      </c>
      <c r="AM50" s="1">
        <f ca="1">VLOOKUP(A50,INDIRECT('LOCCS Import'!$U$3&amp;"$A$3"):INDIRECT('LOCCS Import'!$U$3&amp;"$O$54"),8,)</f>
        <v>0.86</v>
      </c>
      <c r="AN50" s="1">
        <f ca="1">VLOOKUP(A50,INDIRECT('LOCCS Import'!$T$3&amp;"$A$3"):INDIRECT('LOCCS Import'!$T$3&amp;"$O$54"),8,)</f>
        <v>0.83</v>
      </c>
      <c r="AO50" s="1">
        <f ca="1">VLOOKUP(A50,INDIRECT('LOCCS Import'!$S$3&amp;"$A$3"):INDIRECT('LOCCS Import'!$S$3&amp;"$O$54"),8,)</f>
        <v>0.92</v>
      </c>
      <c r="AP50" s="1">
        <f ca="1">VLOOKUP(A50,INDIRECT('LOCCS Import'!$R$3&amp;"$A$3"):INDIRECT('LOCCS Import'!$R$3&amp;"$O$54"),8,)</f>
        <v>0.85</v>
      </c>
      <c r="AQ50" s="1">
        <f ca="1">VLOOKUP(A50,INDIRECT('LOCCS Import'!$Q$3&amp;"$A$3"):INDIRECT('LOCCS Import'!$Q$3&amp;"$O$54"),8,)</f>
        <v>0.97</v>
      </c>
      <c r="AR50" s="1">
        <f ca="1">VLOOKUP(A50,INDIRECT('LOCCS Import'!$P$3&amp;"$A$3"):INDIRECT('LOCCS Import'!$P$3&amp;"$O$54"),8,)</f>
        <v>0.97</v>
      </c>
      <c r="AS50" s="1">
        <f ca="1">VLOOKUP(A50,INDIRECT('LOCCS Import'!$O$3&amp;"$A$3"):INDIRECT('LOCCS Import'!$O$3&amp;"$O$54"),8,)</f>
        <v>0.87</v>
      </c>
      <c r="AT50" s="1">
        <f ca="1">VLOOKUP(A50,INDIRECT('LOCCS Import'!$N$3&amp;"$A$3"):INDIRECT('LOCCS Import'!$N$3&amp;"$O$54"),8,)</f>
        <v>0.85</v>
      </c>
      <c r="AU50" s="1">
        <f ca="1">VLOOKUP(A50,INDIRECT('LOCCS Import'!$M$3&amp;"$A$3"):INDIRECT('LOCCS Import'!$M$3&amp;"$O$54"),8,)</f>
        <v>0.89</v>
      </c>
      <c r="AV50" s="1">
        <f ca="1">VLOOKUP(A50,INDIRECT('LOCCS Import'!$L$3&amp;"$A$3"):INDIRECT('LOCCS Import'!$L$3&amp;"$O$54"),8,)</f>
        <v>0.97</v>
      </c>
      <c r="AW50" s="1">
        <f ca="1">VLOOKUP(A50,INDIRECT('LOCCS Import'!$K$3&amp;"$A$3"):INDIRECT('LOCCS Import'!$K$3&amp;"$O$54"),8,)</f>
        <v>0.94</v>
      </c>
      <c r="AX50" s="1">
        <f ca="1">VLOOKUP(A50,INDIRECT('LOCCS Import'!$J$3&amp;"$A$3"):INDIRECT('LOCCS Import'!$J$3&amp;"$O$54"),8,)</f>
        <v>0.9</v>
      </c>
      <c r="AY50" s="1">
        <f ca="1">VLOOKUP(A50,INDIRECT('LOCCS Import'!$I$3&amp;"$A$3"):INDIRECT('LOCCS Import'!$I$3&amp;"$O$54"),8,)</f>
        <v>0.92</v>
      </c>
      <c r="AZ50" s="1">
        <f ca="1">VLOOKUP(A50,INDIRECT('LOCCS Import'!$H$3&amp;"$A$3"):INDIRECT('LOCCS Import'!$H$3&amp;"$O$54"),8,)</f>
        <v>0.93</v>
      </c>
      <c r="BA50" s="1">
        <f ca="1">VLOOKUP(A50,INDIRECT('LOCCS Import'!$G$3&amp;"$A$3"):INDIRECT('LOCCS Import'!$G$3&amp;"$O$54"),8,)</f>
        <v>0.88</v>
      </c>
      <c r="BB50" s="1">
        <f ca="1">VLOOKUP(A50,INDIRECT('LOCCS Import'!$F$3&amp;"$A$3"):INDIRECT('LOCCS Import'!$F$3&amp;"$O$54"),8,)</f>
        <v>0.94</v>
      </c>
      <c r="BC50" s="1">
        <f ca="1">VLOOKUP(A50,INDIRECT('LOCCS Import'!$E$3&amp;"$A$3"):INDIRECT('LOCCS Import'!$E$3&amp;"$O$54"),8,)</f>
        <v>0.82</v>
      </c>
      <c r="BD50" s="2">
        <f>VLOOKUP(A50,template!$A$3:$P$54,8,)</f>
        <v>0.78</v>
      </c>
      <c r="BE50" s="2">
        <f t="shared" ca="1" si="10"/>
        <v>0.89083333333333325</v>
      </c>
      <c r="BF50" s="109">
        <f t="shared" ca="1" si="5"/>
        <v>31</v>
      </c>
    </row>
    <row r="51" spans="1:58" x14ac:dyDescent="0.3">
      <c r="A51" s="64" t="s">
        <v>67</v>
      </c>
      <c r="B51" s="61" t="s">
        <v>155</v>
      </c>
      <c r="C51" s="61" t="s">
        <v>207</v>
      </c>
      <c r="D51" s="55">
        <f ca="1">VLOOKUP(A51,INDIRECT('LOCCS Import'!$AA$3&amp;"$A$3"):INDIRECT('LOCCS Import'!$AA$3&amp;"$O$54"),7,)</f>
        <v>1.81</v>
      </c>
      <c r="E51" s="57">
        <f ca="1">VLOOKUP(A51,INDIRECT('LOCCS Import'!$Z$3&amp;"$A$3"):INDIRECT('LOCCS Import'!$Z$3&amp;"$O$54"),7,)</f>
        <v>1.7</v>
      </c>
      <c r="F51" s="57">
        <f ca="1">VLOOKUP(A51,INDIRECT('LOCCS Import'!$Y$3&amp;"$A$3"):INDIRECT('LOCCS Import'!$Y$3&amp;"$O$54"),7,)</f>
        <v>1.63</v>
      </c>
      <c r="G51" s="57">
        <f ca="1">VLOOKUP(A51,INDIRECT('LOCCS Import'!$X$3&amp;"$A$3"):INDIRECT('LOCCS Import'!$X$3&amp;"$O$54"),7,)</f>
        <v>1.62</v>
      </c>
      <c r="H51" s="57">
        <f ca="1">VLOOKUP(A51,INDIRECT('LOCCS Import'!$W$3&amp;"$A$3"):INDIRECT('LOCCS Import'!$W$3&amp;"$O$54"),7,)</f>
        <v>2.44</v>
      </c>
      <c r="I51" s="57">
        <f ca="1">VLOOKUP(A51,INDIRECT('LOCCS Import'!$V$3&amp;"$A$3"):INDIRECT('LOCCS Import'!$V$3&amp;"$O$54"),7,)</f>
        <v>2.2999999999999998</v>
      </c>
      <c r="J51" s="57">
        <f ca="1">VLOOKUP(A51,INDIRECT('LOCCS Import'!$U$3&amp;"$A$3"):INDIRECT('LOCCS Import'!$U$3&amp;"$O$54"),7,)</f>
        <v>2.19</v>
      </c>
      <c r="K51" s="57">
        <f ca="1">VLOOKUP(A51,INDIRECT('LOCCS Import'!$T$3&amp;"$A$3"):INDIRECT('LOCCS Import'!$T$3&amp;"$O$54"),7,)</f>
        <v>2.14</v>
      </c>
      <c r="L51" s="57">
        <f ca="1">VLOOKUP(A51,INDIRECT('LOCCS Import'!$S$3&amp;"$A$3"):INDIRECT('LOCCS Import'!$S$3&amp;"$O$54"),7,)</f>
        <v>1.94</v>
      </c>
      <c r="M51" s="57">
        <f ca="1">VLOOKUP(A51,INDIRECT('LOCCS Import'!$R$3&amp;"$A$3"):INDIRECT('LOCCS Import'!$R$3&amp;"$O$54"),7,)</f>
        <v>1.88</v>
      </c>
      <c r="N51" s="57">
        <f ca="1">VLOOKUP(A51,INDIRECT('LOCCS Import'!$Q$3&amp;"$A$3"):INDIRECT('LOCCS Import'!$Q$3&amp;"$O$54"),7,)</f>
        <v>1.88</v>
      </c>
      <c r="O51" s="57">
        <f ca="1">VLOOKUP(A51,INDIRECT('LOCCS Import'!$P$3&amp;"$A$3"):INDIRECT('LOCCS Import'!$P$3&amp;"$O$54"),7,)</f>
        <v>1.88</v>
      </c>
      <c r="P51" s="57">
        <f ca="1">VLOOKUP(A51,INDIRECT('LOCCS Import'!$O$3&amp;"$A$3"):INDIRECT('LOCCS Import'!$O$3&amp;"$O$54"),7,)</f>
        <v>1.82</v>
      </c>
      <c r="Q51" s="57">
        <f ca="1">VLOOKUP(A51,INDIRECT('LOCCS Import'!$N$3&amp;"$A$3"):INDIRECT('LOCCS Import'!$N$3&amp;"$O$54"),7,)</f>
        <v>1.82</v>
      </c>
      <c r="R51" s="57">
        <f ca="1">VLOOKUP(A51,INDIRECT('LOCCS Import'!$M$3&amp;"$A$3"):INDIRECT('LOCCS Import'!$M$3&amp;"$O$54"),7,)</f>
        <v>1.8</v>
      </c>
      <c r="S51" s="57">
        <f ca="1">VLOOKUP(A51,INDIRECT('LOCCS Import'!$L$3&amp;"$A$3"):INDIRECT('LOCCS Import'!$L$3&amp;"$O$54"),7,)</f>
        <v>1.77</v>
      </c>
      <c r="T51" s="57">
        <f ca="1">VLOOKUP(A51,INDIRECT('LOCCS Import'!$K$3&amp;"$A$3"):INDIRECT('LOCCS Import'!$K$3&amp;"$O$54"),7,)</f>
        <v>2.5</v>
      </c>
      <c r="U51" s="57">
        <f ca="1">VLOOKUP(A51,INDIRECT('LOCCS Import'!$J$3&amp;"$A$3"):INDIRECT('LOCCS Import'!$J$3&amp;"$O$54"),7,)</f>
        <v>2.5</v>
      </c>
      <c r="V51" s="57">
        <f ca="1">VLOOKUP(A51,INDIRECT('LOCCS Import'!$I$3&amp;"$A$3"):INDIRECT('LOCCS Import'!$I$3&amp;"$O$54"),7,)</f>
        <v>2.3199999999999998</v>
      </c>
      <c r="W51" s="57">
        <f ca="1">VLOOKUP(A51,INDIRECT('LOCCS Import'!$H$3&amp;"$A$3"):INDIRECT('LOCCS Import'!$H$3&amp;"$O$54"),7,)</f>
        <v>2.2200000000000002</v>
      </c>
      <c r="X51" s="57">
        <f ca="1">VLOOKUP(A51,INDIRECT('LOCCS Import'!$G$3&amp;"$A$3"):INDIRECT('LOCCS Import'!$G$3&amp;"$O$54"),7,)</f>
        <v>2.1</v>
      </c>
      <c r="Y51" s="57">
        <f ca="1">VLOOKUP(A51,INDIRECT('LOCCS Import'!$F$3&amp;"$A$3"):INDIRECT('LOCCS Import'!$F$3&amp;"$O$54"),7,)</f>
        <v>2.1</v>
      </c>
      <c r="Z51" s="57">
        <f ca="1">VLOOKUP(A51,INDIRECT('LOCCS Import'!$E$3&amp;"$A$3"):INDIRECT('LOCCS Import'!$E$3&amp;"$O$54"),7,)</f>
        <v>2.0299999999999998</v>
      </c>
      <c r="AA51" s="57">
        <f>VLOOKUP(A51,template!$A$3:$P$54,7,)</f>
        <v>1.97</v>
      </c>
      <c r="AB51" s="55">
        <f t="shared" ca="1" si="6"/>
        <v>2.5</v>
      </c>
      <c r="AC51" s="57">
        <f t="shared" ca="1" si="7"/>
        <v>1.77</v>
      </c>
      <c r="AD51" s="58">
        <f t="shared" ca="1" si="8"/>
        <v>2.0791666666666671</v>
      </c>
      <c r="AE51" s="80">
        <f t="shared" ca="1" si="9"/>
        <v>6</v>
      </c>
      <c r="AF51" s="127"/>
      <c r="AG51" s="3">
        <f ca="1">VLOOKUP(A51,INDIRECT('LOCCS Import'!$AA$3&amp;"$A$3"):INDIRECT('LOCCS Import'!$AA$3&amp;"$O$54"),8,)</f>
        <v>1.04</v>
      </c>
      <c r="AH51" s="1">
        <f ca="1">VLOOKUP(A51,INDIRECT('LOCCS Import'!$Z$3&amp;"$A$3"):INDIRECT('LOCCS Import'!$Z$3&amp;"$O$54"),8,)</f>
        <v>1.1200000000000001</v>
      </c>
      <c r="AI51" s="1">
        <f ca="1">VLOOKUP(A51,INDIRECT('LOCCS Import'!$Y$3&amp;"$A$3"):INDIRECT('LOCCS Import'!$Y$3&amp;"$O$54"),8,)</f>
        <v>1.1599999999999999</v>
      </c>
      <c r="AJ51" s="1">
        <f ca="1">VLOOKUP(A51,INDIRECT('LOCCS Import'!$X$3&amp;"$A$3"):INDIRECT('LOCCS Import'!$X$3&amp;"$O$54"),8,)</f>
        <v>1.03</v>
      </c>
      <c r="AK51" s="1">
        <f ca="1">VLOOKUP(A51,INDIRECT('LOCCS Import'!$W$3&amp;"$A$3"):INDIRECT('LOCCS Import'!$W$3&amp;"$O$54"),8,)</f>
        <v>1.08</v>
      </c>
      <c r="AL51" s="1">
        <f ca="1">VLOOKUP(A51,INDIRECT('LOCCS Import'!$V$3&amp;"$A$3"):INDIRECT('LOCCS Import'!$V$3&amp;"$O$54"),8,)</f>
        <v>1.19</v>
      </c>
      <c r="AM51" s="1">
        <f ca="1">VLOOKUP(A51,INDIRECT('LOCCS Import'!$U$3&amp;"$A$3"):INDIRECT('LOCCS Import'!$U$3&amp;"$O$54"),8,)</f>
        <v>1.1499999999999999</v>
      </c>
      <c r="AN51" s="1">
        <f ca="1">VLOOKUP(A51,INDIRECT('LOCCS Import'!$T$3&amp;"$A$3"):INDIRECT('LOCCS Import'!$T$3&amp;"$O$54"),8,)</f>
        <v>0.99</v>
      </c>
      <c r="AO51" s="1">
        <f ca="1">VLOOKUP(A51,INDIRECT('LOCCS Import'!$S$3&amp;"$A$3"):INDIRECT('LOCCS Import'!$S$3&amp;"$O$54"),8,)</f>
        <v>1.0900000000000001</v>
      </c>
      <c r="AP51" s="1">
        <f ca="1">VLOOKUP(A51,INDIRECT('LOCCS Import'!$R$3&amp;"$A$3"):INDIRECT('LOCCS Import'!$R$3&amp;"$O$54"),8,)</f>
        <v>1.1000000000000001</v>
      </c>
      <c r="AQ51" s="1">
        <f ca="1">VLOOKUP(A51,INDIRECT('LOCCS Import'!$Q$3&amp;"$A$3"):INDIRECT('LOCCS Import'!$Q$3&amp;"$O$54"),8,)</f>
        <v>0.95</v>
      </c>
      <c r="AR51" s="1">
        <f ca="1">VLOOKUP(A51,INDIRECT('LOCCS Import'!$P$3&amp;"$A$3"):INDIRECT('LOCCS Import'!$P$3&amp;"$O$54"),8,)</f>
        <v>0.95</v>
      </c>
      <c r="AS51" s="1">
        <f ca="1">VLOOKUP(A51,INDIRECT('LOCCS Import'!$O$3&amp;"$A$3"):INDIRECT('LOCCS Import'!$O$3&amp;"$O$54"),8,)</f>
        <v>0.99</v>
      </c>
      <c r="AT51" s="1">
        <f ca="1">VLOOKUP(A51,INDIRECT('LOCCS Import'!$N$3&amp;"$A$3"):INDIRECT('LOCCS Import'!$N$3&amp;"$O$54"),8,)</f>
        <v>0.88</v>
      </c>
      <c r="AU51" s="1">
        <f ca="1">VLOOKUP(A51,INDIRECT('LOCCS Import'!$M$3&amp;"$A$3"):INDIRECT('LOCCS Import'!$M$3&amp;"$O$54"),8,)</f>
        <v>0.83</v>
      </c>
      <c r="AV51" s="1">
        <f ca="1">VLOOKUP(A51,INDIRECT('LOCCS Import'!$L$3&amp;"$A$3"):INDIRECT('LOCCS Import'!$L$3&amp;"$O$54"),8,)</f>
        <v>0.85</v>
      </c>
      <c r="AW51" s="1">
        <f ca="1">VLOOKUP(A51,INDIRECT('LOCCS Import'!$K$3&amp;"$A$3"):INDIRECT('LOCCS Import'!$K$3&amp;"$O$54"),8,)</f>
        <v>0.92</v>
      </c>
      <c r="AX51" s="1">
        <f ca="1">VLOOKUP(A51,INDIRECT('LOCCS Import'!$J$3&amp;"$A$3"):INDIRECT('LOCCS Import'!$J$3&amp;"$O$54"),8,)</f>
        <v>0.78</v>
      </c>
      <c r="AY51" s="1">
        <f ca="1">VLOOKUP(A51,INDIRECT('LOCCS Import'!$I$3&amp;"$A$3"):INDIRECT('LOCCS Import'!$I$3&amp;"$O$54"),8,)</f>
        <v>0.85</v>
      </c>
      <c r="AZ51" s="1">
        <f ca="1">VLOOKUP(A51,INDIRECT('LOCCS Import'!$H$3&amp;"$A$3"):INDIRECT('LOCCS Import'!$H$3&amp;"$O$54"),8,)</f>
        <v>0.9</v>
      </c>
      <c r="BA51" s="1">
        <f ca="1">VLOOKUP(A51,INDIRECT('LOCCS Import'!$G$3&amp;"$A$3"):INDIRECT('LOCCS Import'!$G$3&amp;"$O$54"),8,)</f>
        <v>0.81</v>
      </c>
      <c r="BB51" s="1">
        <f ca="1">VLOOKUP(A51,INDIRECT('LOCCS Import'!$F$3&amp;"$A$3"):INDIRECT('LOCCS Import'!$F$3&amp;"$O$54"),8,)</f>
        <v>0.75</v>
      </c>
      <c r="BC51" s="1">
        <f ca="1">VLOOKUP(A51,INDIRECT('LOCCS Import'!$E$3&amp;"$A$3"):INDIRECT('LOCCS Import'!$E$3&amp;"$O$54"),8,)</f>
        <v>0.83</v>
      </c>
      <c r="BD51" s="2">
        <f>VLOOKUP(A51,template!$A$3:$P$54,8,)</f>
        <v>0.83</v>
      </c>
      <c r="BE51" s="2">
        <f t="shared" ca="1" si="10"/>
        <v>0.85166666666666668</v>
      </c>
      <c r="BF51" s="109">
        <f t="shared" ca="1" si="5"/>
        <v>36</v>
      </c>
    </row>
    <row r="52" spans="1:58" x14ac:dyDescent="0.3">
      <c r="A52" s="65" t="s">
        <v>26</v>
      </c>
      <c r="B52" s="66" t="s">
        <v>167</v>
      </c>
      <c r="C52" s="66" t="s">
        <v>208</v>
      </c>
      <c r="D52" s="70">
        <f ca="1">VLOOKUP(A52,INDIRECT('LOCCS Import'!$AA$3&amp;"$A$3"):INDIRECT('LOCCS Import'!$AA$3&amp;"$O$54"),7,)</f>
        <v>3.98</v>
      </c>
      <c r="E52" s="67">
        <f ca="1">VLOOKUP(A52,INDIRECT('LOCCS Import'!$Z$3&amp;"$A$3"):INDIRECT('LOCCS Import'!$Z$3&amp;"$O$54"),7,)</f>
        <v>3.92</v>
      </c>
      <c r="F52" s="67">
        <f ca="1">VLOOKUP(A52,INDIRECT('LOCCS Import'!$Y$3&amp;"$A$3"):INDIRECT('LOCCS Import'!$Y$3&amp;"$O$54"),7,)</f>
        <v>3.85</v>
      </c>
      <c r="G52" s="67">
        <f ca="1">VLOOKUP(A52,INDIRECT('LOCCS Import'!$X$3&amp;"$A$3"):INDIRECT('LOCCS Import'!$X$3&amp;"$O$54"),7,)</f>
        <v>3.77</v>
      </c>
      <c r="H52" s="67">
        <f ca="1">VLOOKUP(A52,INDIRECT('LOCCS Import'!$W$3&amp;"$A$3"):INDIRECT('LOCCS Import'!$W$3&amp;"$O$54"),7,)</f>
        <v>4.75</v>
      </c>
      <c r="I52" s="67">
        <f ca="1">VLOOKUP(A52,INDIRECT('LOCCS Import'!$V$3&amp;"$A$3"):INDIRECT('LOCCS Import'!$V$3&amp;"$O$54"),7,)</f>
        <v>4.71</v>
      </c>
      <c r="J52" s="67">
        <f ca="1">VLOOKUP(A52,INDIRECT('LOCCS Import'!$U$3&amp;"$A$3"):INDIRECT('LOCCS Import'!$U$3&amp;"$O$54"),7,)</f>
        <v>4.71</v>
      </c>
      <c r="K52" s="67">
        <f ca="1">VLOOKUP(A52,INDIRECT('LOCCS Import'!$T$3&amp;"$A$3"):INDIRECT('LOCCS Import'!$T$3&amp;"$O$54"),7,)</f>
        <v>4.6900000000000004</v>
      </c>
      <c r="L52" s="67">
        <f ca="1">VLOOKUP(A52,INDIRECT('LOCCS Import'!$S$3&amp;"$A$3"):INDIRECT('LOCCS Import'!$S$3&amp;"$O$54"),7,)</f>
        <v>4.6900000000000004</v>
      </c>
      <c r="M52" s="67">
        <f ca="1">VLOOKUP(A52,INDIRECT('LOCCS Import'!$R$3&amp;"$A$3"):INDIRECT('LOCCS Import'!$R$3&amp;"$O$54"),7,)</f>
        <v>4.68</v>
      </c>
      <c r="N52" s="67">
        <f ca="1">VLOOKUP(A52,INDIRECT('LOCCS Import'!$Q$3&amp;"$A$3"):INDIRECT('LOCCS Import'!$Q$3&amp;"$O$54"),7,)</f>
        <v>4.67</v>
      </c>
      <c r="O52" s="67">
        <f ca="1">VLOOKUP(A52,INDIRECT('LOCCS Import'!$P$3&amp;"$A$3"):INDIRECT('LOCCS Import'!$P$3&amp;"$O$54"),7,)</f>
        <v>4.67</v>
      </c>
      <c r="P52" s="67">
        <f ca="1">VLOOKUP(A52,INDIRECT('LOCCS Import'!$O$3&amp;"$A$3"):INDIRECT('LOCCS Import'!$O$3&amp;"$O$54"),7,)</f>
        <v>4.6500000000000004</v>
      </c>
      <c r="Q52" s="67">
        <f ca="1">VLOOKUP(A52,INDIRECT('LOCCS Import'!$N$3&amp;"$A$3"):INDIRECT('LOCCS Import'!$N$3&amp;"$O$54"),7,)</f>
        <v>4.63</v>
      </c>
      <c r="R52" s="67">
        <f ca="1">VLOOKUP(A52,INDIRECT('LOCCS Import'!$M$3&amp;"$A$3"):INDIRECT('LOCCS Import'!$M$3&amp;"$O$54"),7,)</f>
        <v>4.47</v>
      </c>
      <c r="S52" s="67">
        <f ca="1">VLOOKUP(A52,INDIRECT('LOCCS Import'!$L$3&amp;"$A$3"):INDIRECT('LOCCS Import'!$L$3&amp;"$O$54"),7,)</f>
        <v>4.46</v>
      </c>
      <c r="T52" s="67">
        <f ca="1">VLOOKUP(A52,INDIRECT('LOCCS Import'!$K$3&amp;"$A$3"):INDIRECT('LOCCS Import'!$K$3&amp;"$O$54"),7,)</f>
        <v>5.21</v>
      </c>
      <c r="U52" s="67">
        <f ca="1">VLOOKUP(A52,INDIRECT('LOCCS Import'!$J$3&amp;"$A$3"):INDIRECT('LOCCS Import'!$J$3&amp;"$O$54"),7,)</f>
        <v>5.03</v>
      </c>
      <c r="V52" s="67">
        <f ca="1">VLOOKUP(A52,INDIRECT('LOCCS Import'!$I$3&amp;"$A$3"):INDIRECT('LOCCS Import'!$I$3&amp;"$O$54"),7,)</f>
        <v>4.7300000000000004</v>
      </c>
      <c r="W52" s="67">
        <f ca="1">VLOOKUP(A52,INDIRECT('LOCCS Import'!$H$3&amp;"$A$3"):INDIRECT('LOCCS Import'!$H$3&amp;"$O$54"),7,)</f>
        <v>4.58</v>
      </c>
      <c r="X52" s="67">
        <f ca="1">VLOOKUP(A52,INDIRECT('LOCCS Import'!$G$3&amp;"$A$3"):INDIRECT('LOCCS Import'!$G$3&amp;"$O$54"),7,)</f>
        <v>4.58</v>
      </c>
      <c r="Y52" s="67">
        <f ca="1">VLOOKUP(A52,INDIRECT('LOCCS Import'!$F$3&amp;"$A$3"):INDIRECT('LOCCS Import'!$F$3&amp;"$O$54"),7,)</f>
        <v>4.2699999999999996</v>
      </c>
      <c r="Z52" s="67">
        <f ca="1">VLOOKUP(A52,INDIRECT('LOCCS Import'!$E$3&amp;"$A$3"):INDIRECT('LOCCS Import'!$E$3&amp;"$O$54"),7,)</f>
        <v>4.2</v>
      </c>
      <c r="AA52" s="67">
        <f>VLOOKUP(A52,template!$A$3:$P$54,7,)</f>
        <v>4.1900000000000004</v>
      </c>
      <c r="AB52" s="70">
        <f t="shared" ca="1" si="6"/>
        <v>5.21</v>
      </c>
      <c r="AC52" s="67">
        <f t="shared" ca="1" si="7"/>
        <v>4.1900000000000004</v>
      </c>
      <c r="AD52" s="68">
        <f t="shared" ca="1" si="8"/>
        <v>4.583333333333333</v>
      </c>
      <c r="AE52" s="80">
        <f t="shared" ca="1" si="9"/>
        <v>46</v>
      </c>
      <c r="AF52" s="127"/>
      <c r="AG52" s="98">
        <f ca="1">VLOOKUP(A52,INDIRECT('LOCCS Import'!$AA$3&amp;"$A$3"):INDIRECT('LOCCS Import'!$AA$3&amp;"$O$54"),8,)</f>
        <v>0.32</v>
      </c>
      <c r="AH52" s="99">
        <f ca="1">VLOOKUP(A52,INDIRECT('LOCCS Import'!$Z$3&amp;"$A$3"):INDIRECT('LOCCS Import'!$Z$3&amp;"$O$54"),8,)</f>
        <v>0.37</v>
      </c>
      <c r="AI52" s="99">
        <f ca="1">VLOOKUP(A52,INDIRECT('LOCCS Import'!$Y$3&amp;"$A$3"):INDIRECT('LOCCS Import'!$Y$3&amp;"$O$54"),8,)</f>
        <v>0.36</v>
      </c>
      <c r="AJ52" s="99">
        <f ca="1">VLOOKUP(A52,INDIRECT('LOCCS Import'!$X$3&amp;"$A$3"):INDIRECT('LOCCS Import'!$X$3&amp;"$O$54"),8,)</f>
        <v>0.42</v>
      </c>
      <c r="AK52" s="99">
        <f ca="1">VLOOKUP(A52,INDIRECT('LOCCS Import'!$W$3&amp;"$A$3"):INDIRECT('LOCCS Import'!$W$3&amp;"$O$54"),8,)</f>
        <v>0.46</v>
      </c>
      <c r="AL52" s="99">
        <f ca="1">VLOOKUP(A52,INDIRECT('LOCCS Import'!$V$3&amp;"$A$3"):INDIRECT('LOCCS Import'!$V$3&amp;"$O$54"),8,)</f>
        <v>0.49</v>
      </c>
      <c r="AM52" s="99">
        <f ca="1">VLOOKUP(A52,INDIRECT('LOCCS Import'!$U$3&amp;"$A$3"):INDIRECT('LOCCS Import'!$U$3&amp;"$O$54"),8,)</f>
        <v>0.49</v>
      </c>
      <c r="AN52" s="99">
        <f ca="1">VLOOKUP(A52,INDIRECT('LOCCS Import'!$T$3&amp;"$A$3"):INDIRECT('LOCCS Import'!$T$3&amp;"$O$54"),8,)</f>
        <v>0.49</v>
      </c>
      <c r="AO52" s="99">
        <f ca="1">VLOOKUP(A52,INDIRECT('LOCCS Import'!$S$3&amp;"$A$3"):INDIRECT('LOCCS Import'!$S$3&amp;"$O$54"),8,)</f>
        <v>0.49</v>
      </c>
      <c r="AP52" s="99">
        <f ca="1">VLOOKUP(A52,INDIRECT('LOCCS Import'!$R$3&amp;"$A$3"):INDIRECT('LOCCS Import'!$R$3&amp;"$O$54"),8,)</f>
        <v>0.5</v>
      </c>
      <c r="AQ52" s="99">
        <f ca="1">VLOOKUP(A52,INDIRECT('LOCCS Import'!$Q$3&amp;"$A$3"):INDIRECT('LOCCS Import'!$Q$3&amp;"$O$54"),8,)</f>
        <v>0.5</v>
      </c>
      <c r="AR52" s="99">
        <f ca="1">VLOOKUP(A52,INDIRECT('LOCCS Import'!$P$3&amp;"$A$3"):INDIRECT('LOCCS Import'!$P$3&amp;"$O$54"),8,)</f>
        <v>0.5</v>
      </c>
      <c r="AS52" s="99">
        <f ca="1">VLOOKUP(A52,INDIRECT('LOCCS Import'!$O$3&amp;"$A$3"):INDIRECT('LOCCS Import'!$O$3&amp;"$O$54"),8,)</f>
        <v>0.34</v>
      </c>
      <c r="AT52" s="99">
        <f ca="1">VLOOKUP(A52,INDIRECT('LOCCS Import'!$N$3&amp;"$A$3"):INDIRECT('LOCCS Import'!$N$3&amp;"$O$54"),8,)</f>
        <v>0.31</v>
      </c>
      <c r="AU52" s="99">
        <f ca="1">VLOOKUP(A52,INDIRECT('LOCCS Import'!$M$3&amp;"$A$3"):INDIRECT('LOCCS Import'!$M$3&amp;"$O$54"),8,)</f>
        <v>0.4</v>
      </c>
      <c r="AV52" s="99">
        <f ca="1">VLOOKUP(A52,INDIRECT('LOCCS Import'!$L$3&amp;"$A$3"):INDIRECT('LOCCS Import'!$L$3&amp;"$O$54"),8,)</f>
        <v>0.33</v>
      </c>
      <c r="AW52" s="99">
        <f ca="1">VLOOKUP(A52,INDIRECT('LOCCS Import'!$K$3&amp;"$A$3"):INDIRECT('LOCCS Import'!$K$3&amp;"$O$54"),8,)</f>
        <v>0.51</v>
      </c>
      <c r="AX52" s="99">
        <f ca="1">VLOOKUP(A52,INDIRECT('LOCCS Import'!$J$3&amp;"$A$3"):INDIRECT('LOCCS Import'!$J$3&amp;"$O$54"),8,)</f>
        <v>0.65</v>
      </c>
      <c r="AY52" s="99">
        <f ca="1">VLOOKUP(A52,INDIRECT('LOCCS Import'!$I$3&amp;"$A$3"):INDIRECT('LOCCS Import'!$I$3&amp;"$O$54"),8,)</f>
        <v>0.94</v>
      </c>
      <c r="AZ52" s="99">
        <f ca="1">VLOOKUP(A52,INDIRECT('LOCCS Import'!$H$3&amp;"$A$3"):INDIRECT('LOCCS Import'!$H$3&amp;"$O$54"),8,)</f>
        <v>1.08</v>
      </c>
      <c r="BA52" s="99">
        <f ca="1">VLOOKUP(A52,INDIRECT('LOCCS Import'!$G$3&amp;"$A$3"):INDIRECT('LOCCS Import'!$G$3&amp;"$O$54"),8,)</f>
        <v>1.07</v>
      </c>
      <c r="BB52" s="99">
        <f ca="1">VLOOKUP(A52,INDIRECT('LOCCS Import'!$F$3&amp;"$A$3"):INDIRECT('LOCCS Import'!$F$3&amp;"$O$54"),8,)</f>
        <v>1.38</v>
      </c>
      <c r="BC52" s="99">
        <f ca="1">VLOOKUP(A52,INDIRECT('LOCCS Import'!$E$3&amp;"$A$3"):INDIRECT('LOCCS Import'!$E$3&amp;"$O$54"),8,)</f>
        <v>1.44</v>
      </c>
      <c r="BD52" s="100">
        <f>VLOOKUP(A52,template!$A$3:$P$54,8,)</f>
        <v>1.45</v>
      </c>
      <c r="BE52" s="2">
        <f t="shared" ca="1" si="10"/>
        <v>0.82500000000000007</v>
      </c>
      <c r="BF52" s="109">
        <f t="shared" ca="1" si="5"/>
        <v>39</v>
      </c>
    </row>
    <row r="53" spans="1:58" x14ac:dyDescent="0.3">
      <c r="A53" s="85" t="s">
        <v>209</v>
      </c>
      <c r="B53" s="63"/>
      <c r="C53" s="81" t="s">
        <v>210</v>
      </c>
      <c r="D53" s="53">
        <f ca="1">VLOOKUP(A53,INDIRECT('LOCCS Import'!$AA$3&amp;"$A$3"):INDIRECT('LOCCS Import'!$AA$3&amp;"$O$54"),7,)</f>
        <v>3.07</v>
      </c>
      <c r="E53" s="53">
        <f ca="1">VLOOKUP(A53,INDIRECT('LOCCS Import'!$Z$3&amp;"$A$3"):INDIRECT('LOCCS Import'!$Z$3&amp;"$O$54"),7,)</f>
        <v>2.98</v>
      </c>
      <c r="F53" s="53">
        <f ca="1">VLOOKUP(A53,INDIRECT('LOCCS Import'!$Y$3&amp;"$A$3"):INDIRECT('LOCCS Import'!$Y$3&amp;"$O$54"),7,)</f>
        <v>2.92</v>
      </c>
      <c r="G53" s="53">
        <f ca="1">VLOOKUP(A53,INDIRECT('LOCCS Import'!$X$3&amp;"$A$3"):INDIRECT('LOCCS Import'!$X$3&amp;"$O$54"),7,)</f>
        <v>2.85</v>
      </c>
      <c r="H53" s="53">
        <f ca="1">VLOOKUP(A53,INDIRECT('LOCCS Import'!$W$3&amp;"$A$3"):INDIRECT('LOCCS Import'!$W$3&amp;"$O$54"),7,)</f>
        <v>3.25</v>
      </c>
      <c r="I53" s="53">
        <f ca="1">VLOOKUP(A53,INDIRECT('LOCCS Import'!$V$3&amp;"$A$3"):INDIRECT('LOCCS Import'!$V$3&amp;"$O$54"),7,)</f>
        <v>3.39</v>
      </c>
      <c r="J53" s="53">
        <f ca="1">VLOOKUP(A53,INDIRECT('LOCCS Import'!$U$3&amp;"$A$3"):INDIRECT('LOCCS Import'!$U$3&amp;"$O$54"),7,)</f>
        <v>3.43</v>
      </c>
      <c r="K53" s="53">
        <f ca="1">VLOOKUP(A53,INDIRECT('LOCCS Import'!$T$3&amp;"$A$3"):INDIRECT('LOCCS Import'!$T$3&amp;"$O$54"),7,)</f>
        <v>3.43</v>
      </c>
      <c r="L53" s="53">
        <f ca="1">VLOOKUP(A53,INDIRECT('LOCCS Import'!$S$3&amp;"$A$3"):INDIRECT('LOCCS Import'!$S$3&amp;"$O$54"),7,)</f>
        <v>3.43</v>
      </c>
      <c r="M53" s="53">
        <f ca="1">VLOOKUP(A53,INDIRECT('LOCCS Import'!$R$3&amp;"$A$3"):INDIRECT('LOCCS Import'!$R$3&amp;"$O$54"),7,)</f>
        <v>3.36</v>
      </c>
      <c r="N53" s="53">
        <f ca="1">VLOOKUP(A53,INDIRECT('LOCCS Import'!$Q$3&amp;"$A$3"):INDIRECT('LOCCS Import'!$Q$3&amp;"$O$54"),7,)</f>
        <v>3.29</v>
      </c>
      <c r="O53" s="53">
        <f ca="1">VLOOKUP(A53,INDIRECT('LOCCS Import'!$P$3&amp;"$A$3"):INDIRECT('LOCCS Import'!$P$3&amp;"$O$54"),7,)</f>
        <v>3.29</v>
      </c>
      <c r="P53" s="53">
        <f ca="1">VLOOKUP(A53,INDIRECT('LOCCS Import'!$O$3&amp;"$A$3"):INDIRECT('LOCCS Import'!$O$3&amp;"$O$54"),7,)</f>
        <v>3.16</v>
      </c>
      <c r="Q53" s="53">
        <f ca="1">VLOOKUP(A53,INDIRECT('LOCCS Import'!$N$3&amp;"$A$3"):INDIRECT('LOCCS Import'!$N$3&amp;"$O$54"),7,)</f>
        <v>3.08</v>
      </c>
      <c r="R53" s="53">
        <f ca="1">VLOOKUP(A53,INDIRECT('LOCCS Import'!$M$3&amp;"$A$3"):INDIRECT('LOCCS Import'!$M$3&amp;"$O$54"),7,)</f>
        <v>3</v>
      </c>
      <c r="S53" s="53">
        <f ca="1">VLOOKUP(A53,INDIRECT('LOCCS Import'!$L$3&amp;"$A$3"):INDIRECT('LOCCS Import'!$L$3&amp;"$O$54"),7,)</f>
        <v>2.89</v>
      </c>
      <c r="T53" s="53">
        <f ca="1">VLOOKUP(A53,INDIRECT('LOCCS Import'!$K$3&amp;"$A$3"):INDIRECT('LOCCS Import'!$K$3&amp;"$O$54"),7,)</f>
        <v>3.56</v>
      </c>
      <c r="U53" s="53">
        <f ca="1">VLOOKUP(A53,INDIRECT('LOCCS Import'!$J$3&amp;"$A$3"):INDIRECT('LOCCS Import'!$J$3&amp;"$O$54"),7,)</f>
        <v>3.46</v>
      </c>
      <c r="V53" s="53">
        <f ca="1">VLOOKUP(A53,INDIRECT('LOCCS Import'!$I$3&amp;"$A$3"):INDIRECT('LOCCS Import'!$I$3&amp;"$O$54"),7,)</f>
        <v>3.38</v>
      </c>
      <c r="W53" s="53">
        <f ca="1">VLOOKUP(A53,INDIRECT('LOCCS Import'!$H$3&amp;"$A$3"):INDIRECT('LOCCS Import'!$H$3&amp;"$O$54"),7,)</f>
        <v>3.39</v>
      </c>
      <c r="X53" s="53">
        <f ca="1">VLOOKUP(A53,INDIRECT('LOCCS Import'!$G$3&amp;"$A$3"):INDIRECT('LOCCS Import'!$G$3&amp;"$O$54"),7,)</f>
        <v>3.42</v>
      </c>
      <c r="Y53" s="53">
        <f ca="1">VLOOKUP(A53,INDIRECT('LOCCS Import'!$F$3&amp;"$A$3"):INDIRECT('LOCCS Import'!$F$3&amp;"$O$54"),7,)</f>
        <v>3.37</v>
      </c>
      <c r="Z53" s="53">
        <f ca="1">VLOOKUP(A53,INDIRECT('LOCCS Import'!$E$3&amp;"$A$3"):INDIRECT('LOCCS Import'!$E$3&amp;"$O$54"),7,)</f>
        <v>3.32</v>
      </c>
      <c r="AA53" s="53">
        <f>VLOOKUP(A53,template!$A$3:$P$54,7,)</f>
        <v>3.25</v>
      </c>
      <c r="AB53" s="52">
        <f t="shared" ca="1" si="6"/>
        <v>3.56</v>
      </c>
      <c r="AC53" s="53">
        <f t="shared" ca="1" si="7"/>
        <v>2.89</v>
      </c>
      <c r="AD53" s="53">
        <f t="shared" ca="1" si="8"/>
        <v>3.2733333333333334</v>
      </c>
      <c r="AE53" s="89"/>
      <c r="AF53" s="127"/>
      <c r="AG53" s="39">
        <f ca="1">VLOOKUP(A53,INDIRECT('LOCCS Import'!$AA$3&amp;"$A$3"):INDIRECT('LOCCS Import'!$AA$3&amp;"$O$54"),8,)</f>
        <v>0.91</v>
      </c>
      <c r="AH53" s="40">
        <f ca="1">VLOOKUP(A53,INDIRECT('LOCCS Import'!$Z$3&amp;"$A$3"):INDIRECT('LOCCS Import'!$Z$3&amp;"$O$54"),8,)</f>
        <v>0.91</v>
      </c>
      <c r="AI53" s="40">
        <f ca="1">VLOOKUP(A53,INDIRECT('LOCCS Import'!$Y$3&amp;"$A$3"):INDIRECT('LOCCS Import'!$Y$3&amp;"$O$54"),8,)</f>
        <v>0.92</v>
      </c>
      <c r="AJ53" s="40">
        <f ca="1">VLOOKUP(A53,INDIRECT('LOCCS Import'!$X$3&amp;"$A$3"):INDIRECT('LOCCS Import'!$X$3&amp;"$O$54"),8,)</f>
        <v>0.94</v>
      </c>
      <c r="AK53" s="40">
        <f ca="1">VLOOKUP(A53,INDIRECT('LOCCS Import'!$W$3&amp;"$A$3"):INDIRECT('LOCCS Import'!$W$3&amp;"$O$54"),8,)</f>
        <v>0.92</v>
      </c>
      <c r="AL53" s="40">
        <f ca="1">VLOOKUP(A53,INDIRECT('LOCCS Import'!$V$3&amp;"$A$3"):INDIRECT('LOCCS Import'!$V$3&amp;"$O$54"),8,)</f>
        <v>0.93</v>
      </c>
      <c r="AM53" s="40">
        <f ca="1">VLOOKUP(A53,INDIRECT('LOCCS Import'!$U$3&amp;"$A$3"):INDIRECT('LOCCS Import'!$U$3&amp;"$O$54"),8,)</f>
        <v>0.94</v>
      </c>
      <c r="AN53" s="40">
        <f ca="1">VLOOKUP(A53,INDIRECT('LOCCS Import'!$T$3&amp;"$A$3"):INDIRECT('LOCCS Import'!$T$3&amp;"$O$54"),8,)</f>
        <v>0.93</v>
      </c>
      <c r="AO53" s="40">
        <f ca="1">VLOOKUP(A53,INDIRECT('LOCCS Import'!$S$3&amp;"$A$3"):INDIRECT('LOCCS Import'!$S$3&amp;"$O$54"),8,)</f>
        <v>0.96</v>
      </c>
      <c r="AP53" s="40">
        <f ca="1">VLOOKUP(A53,INDIRECT('LOCCS Import'!$R$3&amp;"$A$3"):INDIRECT('LOCCS Import'!$R$3&amp;"$O$54"),8,)</f>
        <v>0.96</v>
      </c>
      <c r="AQ53" s="40">
        <f ca="1">VLOOKUP(A53,INDIRECT('LOCCS Import'!$Q$3&amp;"$A$3"):INDIRECT('LOCCS Import'!$Q$3&amp;"$O$54"),8,)</f>
        <v>0.96</v>
      </c>
      <c r="AR53" s="40">
        <f ca="1">VLOOKUP(A53,INDIRECT('LOCCS Import'!$P$3&amp;"$A$3"):INDIRECT('LOCCS Import'!$P$3&amp;"$O$54"),8,)</f>
        <v>0.96</v>
      </c>
      <c r="AS53" s="40">
        <f ca="1">VLOOKUP(A53,INDIRECT('LOCCS Import'!$O$3&amp;"$A$3"):INDIRECT('LOCCS Import'!$O$3&amp;"$O$54"),8,)</f>
        <v>0.94</v>
      </c>
      <c r="AT53" s="40">
        <f ca="1">VLOOKUP(A53,INDIRECT('LOCCS Import'!$N$3&amp;"$A$3"):INDIRECT('LOCCS Import'!$N$3&amp;"$O$54"),8,)</f>
        <v>0.93</v>
      </c>
      <c r="AU53" s="40">
        <f ca="1">VLOOKUP(A53,INDIRECT('LOCCS Import'!$M$3&amp;"$A$3"):INDIRECT('LOCCS Import'!$M$3&amp;"$O$54"),8,)</f>
        <v>0.94</v>
      </c>
      <c r="AV53" s="40">
        <f ca="1">VLOOKUP(A53,INDIRECT('LOCCS Import'!$L$3&amp;"$A$3"):INDIRECT('LOCCS Import'!$L$3&amp;"$O$54"),8,)</f>
        <v>0.95</v>
      </c>
      <c r="AW53" s="40">
        <f ca="1">VLOOKUP(A53,INDIRECT('LOCCS Import'!$K$3&amp;"$A$3"):INDIRECT('LOCCS Import'!$K$3&amp;"$O$54"),8,)</f>
        <v>0.97</v>
      </c>
      <c r="AX53" s="40">
        <f ca="1">VLOOKUP(A53,INDIRECT('LOCCS Import'!$J$3&amp;"$A$3"):INDIRECT('LOCCS Import'!$J$3&amp;"$O$54"),8,)</f>
        <v>0.98</v>
      </c>
      <c r="AY53" s="40">
        <f ca="1">VLOOKUP(A53,INDIRECT('LOCCS Import'!$I$3&amp;"$A$3"):INDIRECT('LOCCS Import'!$I$3&amp;"$O$54"),8,)</f>
        <v>0.99</v>
      </c>
      <c r="AZ53" s="40">
        <f ca="1">VLOOKUP(A53,INDIRECT('LOCCS Import'!$H$3&amp;"$A$3"):INDIRECT('LOCCS Import'!$H$3&amp;"$O$54"),8,)</f>
        <v>0.98</v>
      </c>
      <c r="BA53" s="40">
        <f ca="1">VLOOKUP(A53,INDIRECT('LOCCS Import'!$G$3&amp;"$A$3"):INDIRECT('LOCCS Import'!$G$3&amp;"$O$54"),8,)</f>
        <v>0.94</v>
      </c>
      <c r="BB53" s="40">
        <f ca="1">VLOOKUP(A53,INDIRECT('LOCCS Import'!$F$3&amp;"$A$3"):INDIRECT('LOCCS Import'!$F$3&amp;"$O$54"),8,)</f>
        <v>0.94</v>
      </c>
      <c r="BC53" s="40">
        <f ca="1">VLOOKUP(A53,INDIRECT('LOCCS Import'!$E$3&amp;"$A$3"):INDIRECT('LOCCS Import'!$E$3&amp;"$O$54"),8,)</f>
        <v>0.96</v>
      </c>
      <c r="BD53" s="41">
        <f>VLOOKUP(A53,template!$A$3:$P$54,8,)</f>
        <v>0.96</v>
      </c>
      <c r="BE53" s="104">
        <f t="shared" ca="1" si="10"/>
        <v>0.95666666666666667</v>
      </c>
      <c r="BF53" s="107"/>
    </row>
    <row r="54" spans="1:58" x14ac:dyDescent="0.3">
      <c r="A54" s="86" t="s">
        <v>211</v>
      </c>
      <c r="C54" s="59" t="s">
        <v>210</v>
      </c>
      <c r="D54" s="60">
        <f ca="1">INDIRECT('LOCCS Import'!$AA$3&amp;"$D$53")/1000000000</f>
        <v>3.033575865409996</v>
      </c>
      <c r="E54" s="60">
        <f ca="1">INDIRECT('LOCCS Import'!$Z$3&amp;"$D$53")/1000000000</f>
        <v>2.9443317139199983</v>
      </c>
      <c r="F54" s="60">
        <f ca="1">INDIRECT('LOCCS Import'!$Y$3&amp;"$D$53")/1000000000</f>
        <v>2.8822469040800018</v>
      </c>
      <c r="G54" s="60">
        <f ca="1">INDIRECT('LOCCS Import'!$X$3&amp;"$D$53")/1000000000</f>
        <v>2.8029219449400022</v>
      </c>
      <c r="H54" s="60">
        <f ca="1">INDIRECT('LOCCS Import'!$W$3&amp;"$D$53")/1000000000</f>
        <v>3.2032934859000015</v>
      </c>
      <c r="I54" s="60">
        <f ca="1">INDIRECT('LOCCS Import'!$V$3&amp;"$D$53")/1000000000</f>
        <v>3.3420862042600024</v>
      </c>
      <c r="J54" s="60">
        <f ca="1">INDIRECT('LOCCS Import'!$U$3&amp;"$D$53")/1000000000</f>
        <v>3.3815534093399964</v>
      </c>
      <c r="K54" s="60">
        <f ca="1">INDIRECT('LOCCS Import'!$T$3&amp;"$D$53")/1000000000</f>
        <v>3.3741574572399977</v>
      </c>
      <c r="L54" s="60">
        <f ca="1">INDIRECT('LOCCS Import'!$S$3&amp;"$D$53")/1000000000</f>
        <v>3.3645987558799972</v>
      </c>
      <c r="M54" s="60">
        <f ca="1">INDIRECT('LOCCS Import'!$R$3&amp;"$D$53")/1000000000</f>
        <v>3.2962625077299958</v>
      </c>
      <c r="N54" s="60">
        <f ca="1">INDIRECT('LOCCS Import'!$Q$3&amp;"$D$53")/1000000000</f>
        <v>3.2321113471699983</v>
      </c>
      <c r="O54" s="60">
        <f ca="1">INDIRECT('LOCCS Import'!$P$3&amp;"$D$53")/1000000000</f>
        <v>3.2321113471699983</v>
      </c>
      <c r="P54" s="60">
        <f ca="1">INDIRECT('LOCCS Import'!$O$3&amp;"$D$53")/1000000000</f>
        <v>3.1002064133799974</v>
      </c>
      <c r="Q54" s="60">
        <f ca="1">INDIRECT('LOCCS Import'!$N$3&amp;"$D$53")/1000000000</f>
        <v>3.0236046714599989</v>
      </c>
      <c r="R54" s="60">
        <f ca="1">INDIRECT('LOCCS Import'!$M$3&amp;"$D$53")/1000000000</f>
        <v>2.9417699510599977</v>
      </c>
      <c r="S54" s="60">
        <f ca="1">INDIRECT('LOCCS Import'!$L$3&amp;"$D$53")/1000000000</f>
        <v>2.8397359367600021</v>
      </c>
      <c r="T54" s="60">
        <f ca="1">INDIRECT('LOCCS Import'!$K$3&amp;"$D$53")/1000000000</f>
        <v>3.5019987663800047</v>
      </c>
      <c r="U54" s="60">
        <f ca="1">INDIRECT('LOCCS Import'!$J$3&amp;"$D$53")/1000000000</f>
        <v>3.4070424760100022</v>
      </c>
      <c r="V54" s="60">
        <f ca="1">INDIRECT('LOCCS Import'!$I$3&amp;"$D$53")/1000000000</f>
        <v>3.3262852529200058</v>
      </c>
      <c r="W54" s="60">
        <f ca="1">INDIRECT('LOCCS Import'!$H$3&amp;"$D$53")/1000000000</f>
        <v>3.3412468479300004</v>
      </c>
      <c r="X54" s="60">
        <f ca="1">INDIRECT('LOCCS Import'!$G$3&amp;"$D$53")/1000000000</f>
        <v>3.3678735871399992</v>
      </c>
      <c r="Y54" s="60">
        <f ca="1">INDIRECT('LOCCS Import'!$F$3&amp;"$D$53")/1000000000</f>
        <v>3.3117770370900041</v>
      </c>
      <c r="Z54" s="60">
        <f ca="1">INDIRECT('LOCCS Import'!$E$3&amp;"$D$53")/1000000000</f>
        <v>3.2669811682799987</v>
      </c>
      <c r="AA54" s="60">
        <f>template!D53/1000000000</f>
        <v>3.1975689375400007</v>
      </c>
      <c r="AB54" s="55"/>
      <c r="AC54" s="57"/>
      <c r="AD54" s="57"/>
      <c r="AE54" s="90"/>
      <c r="AF54" s="127"/>
      <c r="AG54" s="101"/>
      <c r="AH54" s="60"/>
      <c r="AI54" s="60"/>
      <c r="AJ54" s="60"/>
      <c r="AK54" s="60"/>
      <c r="AL54" s="60"/>
      <c r="AM54" s="60"/>
      <c r="AN54" s="60"/>
      <c r="AO54" s="60"/>
      <c r="AP54" s="60"/>
      <c r="AQ54" s="60"/>
      <c r="AR54" s="60"/>
      <c r="AS54" s="60"/>
      <c r="AT54" s="60"/>
      <c r="AU54" s="60"/>
      <c r="AV54" s="60"/>
      <c r="AW54" s="60"/>
      <c r="AX54" s="60"/>
      <c r="AY54" s="60"/>
      <c r="AZ54" s="60"/>
      <c r="BA54" s="60"/>
      <c r="BB54" s="60"/>
      <c r="BC54" s="60"/>
      <c r="BD54" s="102"/>
      <c r="BE54" s="105"/>
      <c r="BF54" s="105"/>
    </row>
    <row r="55" spans="1:58" x14ac:dyDescent="0.3">
      <c r="A55" s="82" t="s">
        <v>212</v>
      </c>
      <c r="B55" s="73"/>
      <c r="C55" s="83" t="s">
        <v>210</v>
      </c>
      <c r="D55" s="84"/>
      <c r="E55" s="84"/>
      <c r="F55" s="84"/>
      <c r="G55" s="84"/>
      <c r="H55" s="84"/>
      <c r="I55" s="84"/>
      <c r="J55" s="84"/>
      <c r="K55" s="84"/>
      <c r="L55" s="84"/>
      <c r="M55" s="84"/>
      <c r="N55" s="84"/>
      <c r="O55" s="84"/>
      <c r="P55" s="84"/>
      <c r="Q55" s="84"/>
      <c r="R55" s="84"/>
      <c r="S55" s="84"/>
      <c r="T55" s="84"/>
      <c r="U55" s="84"/>
      <c r="V55" s="84"/>
      <c r="W55" s="84"/>
      <c r="X55" s="84"/>
      <c r="Y55" s="84"/>
      <c r="Z55" s="84"/>
      <c r="AA55" s="84"/>
      <c r="AB55" s="88"/>
      <c r="AC55" s="84"/>
      <c r="AD55" s="84"/>
      <c r="AE55" s="91"/>
      <c r="AF55" s="127"/>
      <c r="AG55" s="65"/>
      <c r="AH55" s="73"/>
      <c r="AI55" s="73"/>
      <c r="AJ55" s="73"/>
      <c r="AK55" s="73"/>
      <c r="AL55" s="73"/>
      <c r="AM55" s="73"/>
      <c r="AN55" s="73"/>
      <c r="AO55" s="73"/>
      <c r="AP55" s="73"/>
      <c r="AQ55" s="73"/>
      <c r="AR55" s="73"/>
      <c r="AS55" s="73"/>
      <c r="AT55" s="73"/>
      <c r="AU55" s="73"/>
      <c r="AV55" s="73"/>
      <c r="AW55" s="73"/>
      <c r="AX55" s="73"/>
      <c r="AY55" s="73"/>
      <c r="AZ55" s="73"/>
      <c r="BA55" s="73"/>
      <c r="BB55" s="73"/>
      <c r="BC55" s="73"/>
      <c r="BD55" s="103"/>
      <c r="BE55" s="106"/>
      <c r="BF55" s="106"/>
    </row>
    <row r="56" spans="1:58" x14ac:dyDescent="0.3">
      <c r="A56" s="92"/>
    </row>
  </sheetData>
  <autoFilter ref="A2:BF2" xr:uid="{33B7378B-9D41-4A88-A0FB-A34840FD6A58}"/>
  <mergeCells count="3">
    <mergeCell ref="AB1:AD1"/>
    <mergeCell ref="D1:AA1"/>
    <mergeCell ref="AG1:BF1"/>
  </mergeCells>
  <phoneticPr fontId="0" type="noConversion"/>
  <conditionalFormatting sqref="D3:AD53">
    <cfRule type="cellIs" dxfId="25" priority="11" stopIfTrue="1" operator="between">
      <formula>2</formula>
      <formula>2.5</formula>
    </cfRule>
    <cfRule type="cellIs" dxfId="24" priority="12" stopIfTrue="1" operator="greaterThan">
      <formula>2.5</formula>
    </cfRule>
  </conditionalFormatting>
  <conditionalFormatting sqref="AG3:BD53">
    <cfRule type="cellIs" dxfId="23" priority="7" stopIfTrue="1" operator="between">
      <formula>2</formula>
      <formula>2.5</formula>
    </cfRule>
    <cfRule type="cellIs" dxfId="22" priority="8" stopIfTrue="1" operator="greaterThan">
      <formula>2.5</formula>
    </cfRule>
  </conditionalFormatting>
  <conditionalFormatting sqref="AG3:BD53">
    <cfRule type="cellIs" dxfId="21" priority="5" stopIfTrue="1" operator="between">
      <formula>0.001</formula>
      <formula>0.9999</formula>
    </cfRule>
    <cfRule type="cellIs" dxfId="20" priority="6" stopIfTrue="1" operator="greaterThanOrEqual">
      <formula>1</formula>
    </cfRule>
  </conditionalFormatting>
  <conditionalFormatting sqref="BE3:BE53">
    <cfRule type="cellIs" dxfId="19" priority="3" stopIfTrue="1" operator="between">
      <formula>2</formula>
      <formula>2.5</formula>
    </cfRule>
    <cfRule type="cellIs" dxfId="18" priority="4" stopIfTrue="1" operator="greaterThan">
      <formula>2.5</formula>
    </cfRule>
  </conditionalFormatting>
  <conditionalFormatting sqref="BE3:BE53">
    <cfRule type="cellIs" dxfId="17" priority="1" stopIfTrue="1" operator="between">
      <formula>0.001</formula>
      <formula>0.9999</formula>
    </cfRule>
    <cfRule type="cellIs" dxfId="16" priority="2" stopIfTrue="1" operator="greaterThanOrEqual">
      <formula>1</formula>
    </cfRule>
  </conditionalFormatting>
  <printOptions gridLines="1"/>
  <pageMargins left="0.75" right="0.75" top="1" bottom="1" header="0.5" footer="0.5"/>
  <pageSetup scale="32" orientation="portrait" r:id="rId1"/>
  <headerFooter alignWithMargins="0">
    <oddHeader>&amp;CLOCCS
State Allocation of Expenditure Report for CPD Block Grant Programs
Ratios</oddHeader>
  </headerFooter>
  <rowBreaks count="1" manualBreakCount="1">
    <brk id="86"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533B-17A9-4A68-9DEF-86E94C2ED1F5}">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76</v>
      </c>
      <c r="B1" s="178" t="s">
        <v>77</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1115197398.45</v>
      </c>
      <c r="C3" s="13">
        <v>975610322.07000005</v>
      </c>
      <c r="D3" s="13">
        <v>139587076.38</v>
      </c>
      <c r="E3" s="13">
        <v>7966475.7400000002</v>
      </c>
      <c r="F3" s="13">
        <v>26165562</v>
      </c>
      <c r="G3" s="14">
        <v>5.33</v>
      </c>
      <c r="H3" s="14">
        <v>0.3</v>
      </c>
      <c r="I3" s="13">
        <v>663872.97833333339</v>
      </c>
      <c r="J3" s="15">
        <v>0</v>
      </c>
      <c r="K3" s="13">
        <v>139587076.38</v>
      </c>
      <c r="L3" s="13" t="s">
        <v>20</v>
      </c>
      <c r="M3" s="13" t="s">
        <v>20</v>
      </c>
      <c r="N3" s="179">
        <v>43647</v>
      </c>
      <c r="O3" s="16">
        <v>45108</v>
      </c>
      <c r="P3" s="13">
        <v>798661.46</v>
      </c>
      <c r="Q3" s="223" t="e">
        <v>#VALUE!</v>
      </c>
    </row>
    <row r="4" spans="1:17" x14ac:dyDescent="0.2">
      <c r="A4" s="4" t="s">
        <v>21</v>
      </c>
      <c r="B4" s="13">
        <v>1742322911.3599999</v>
      </c>
      <c r="C4" s="13">
        <v>1511279137.8800001</v>
      </c>
      <c r="D4" s="13">
        <v>231043773.47999978</v>
      </c>
      <c r="E4" s="13">
        <v>31224634.09</v>
      </c>
      <c r="F4" s="13">
        <v>46308393</v>
      </c>
      <c r="G4" s="14">
        <v>4.99</v>
      </c>
      <c r="H4" s="14">
        <v>0.67</v>
      </c>
      <c r="I4" s="13">
        <v>2602052.8408333333</v>
      </c>
      <c r="J4" s="15">
        <v>4</v>
      </c>
      <c r="K4" s="13">
        <v>220635562.11666644</v>
      </c>
      <c r="L4" s="13">
        <v>34606746.869999945</v>
      </c>
      <c r="M4" s="13">
        <v>28818197.744999945</v>
      </c>
      <c r="N4" s="179">
        <v>43831</v>
      </c>
      <c r="O4" s="16">
        <v>45292</v>
      </c>
      <c r="P4" s="13">
        <v>3687573.2</v>
      </c>
      <c r="Q4" s="222" t="e">
        <v>#VALUE!</v>
      </c>
    </row>
    <row r="5" spans="1:17" x14ac:dyDescent="0.2">
      <c r="A5" s="4" t="s">
        <v>22</v>
      </c>
      <c r="B5" s="13">
        <v>694863312.32000005</v>
      </c>
      <c r="C5" s="13">
        <v>624953783.19000006</v>
      </c>
      <c r="D5" s="13">
        <v>69909529.129999995</v>
      </c>
      <c r="E5" s="13">
        <v>11313362.85</v>
      </c>
      <c r="F5" s="13">
        <v>14211637</v>
      </c>
      <c r="G5" s="14">
        <v>4.92</v>
      </c>
      <c r="H5" s="14">
        <v>0.8</v>
      </c>
      <c r="I5" s="13">
        <v>942780.23749999993</v>
      </c>
      <c r="J5" s="15">
        <v>0</v>
      </c>
      <c r="K5" s="13">
        <v>69909529.129999995</v>
      </c>
      <c r="L5" s="13" t="s">
        <v>20</v>
      </c>
      <c r="M5" s="13" t="s">
        <v>20</v>
      </c>
      <c r="N5" s="179">
        <v>43647</v>
      </c>
      <c r="O5" s="16">
        <v>45108</v>
      </c>
      <c r="P5" s="13">
        <v>892209.72</v>
      </c>
      <c r="Q5" s="222" t="e">
        <v>#VALUE!</v>
      </c>
    </row>
    <row r="6" spans="1:17" x14ac:dyDescent="0.2">
      <c r="A6" s="4" t="s">
        <v>23</v>
      </c>
      <c r="B6" s="13">
        <v>1307199339.74</v>
      </c>
      <c r="C6" s="13">
        <v>1173752828.78</v>
      </c>
      <c r="D6" s="13">
        <v>133446510.96000004</v>
      </c>
      <c r="E6" s="13">
        <v>13981877.92</v>
      </c>
      <c r="F6" s="13">
        <v>29464578</v>
      </c>
      <c r="G6" s="14">
        <v>4.53</v>
      </c>
      <c r="H6" s="14">
        <v>0.47</v>
      </c>
      <c r="I6" s="13">
        <v>1165156.4933333334</v>
      </c>
      <c r="J6" s="15">
        <v>4</v>
      </c>
      <c r="K6" s="13">
        <v>128785884.98666671</v>
      </c>
      <c r="L6" s="13">
        <v>18629338.74000001</v>
      </c>
      <c r="M6" s="13">
        <v>14946266.49000001</v>
      </c>
      <c r="N6" s="179">
        <v>43831</v>
      </c>
      <c r="O6" s="16">
        <v>45292</v>
      </c>
      <c r="P6" s="13">
        <v>1205690.24</v>
      </c>
      <c r="Q6" s="222" t="e">
        <v>#VALUE!</v>
      </c>
    </row>
    <row r="7" spans="1:17" x14ac:dyDescent="0.2">
      <c r="A7" s="4" t="s">
        <v>24</v>
      </c>
      <c r="B7" s="13">
        <v>1436169229.97</v>
      </c>
      <c r="C7" s="13">
        <v>1288307187.3699999</v>
      </c>
      <c r="D7" s="13">
        <v>147862042.60000014</v>
      </c>
      <c r="E7" s="13">
        <v>28458939.059999999</v>
      </c>
      <c r="F7" s="13">
        <v>33783046</v>
      </c>
      <c r="G7" s="14">
        <v>4.38</v>
      </c>
      <c r="H7" s="14">
        <v>0.84</v>
      </c>
      <c r="I7" s="13">
        <v>2371578.2549999999</v>
      </c>
      <c r="J7" s="15">
        <v>0</v>
      </c>
      <c r="K7" s="13">
        <v>147862042.60000014</v>
      </c>
      <c r="L7" s="13" t="s">
        <v>20</v>
      </c>
      <c r="M7" s="13" t="s">
        <v>20</v>
      </c>
      <c r="N7" s="179">
        <v>43647</v>
      </c>
      <c r="O7" s="16">
        <v>45108</v>
      </c>
      <c r="P7" s="13">
        <v>994708.01</v>
      </c>
      <c r="Q7" s="222" t="e">
        <v>#VALUE!</v>
      </c>
    </row>
    <row r="8" spans="1:17" x14ac:dyDescent="0.2">
      <c r="A8" s="4" t="s">
        <v>25</v>
      </c>
      <c r="B8" s="13">
        <v>258947994</v>
      </c>
      <c r="C8" s="13">
        <v>231837015.49000001</v>
      </c>
      <c r="D8" s="13">
        <v>27110978.50999999</v>
      </c>
      <c r="E8" s="13">
        <v>5120325.47</v>
      </c>
      <c r="F8" s="13">
        <v>6541090</v>
      </c>
      <c r="G8" s="14">
        <v>4.1399999999999997</v>
      </c>
      <c r="H8" s="14">
        <v>0.78</v>
      </c>
      <c r="I8" s="13">
        <v>426693.78916666663</v>
      </c>
      <c r="J8" s="15">
        <v>7</v>
      </c>
      <c r="K8" s="13">
        <v>24124121.985833324</v>
      </c>
      <c r="L8" s="13">
        <v>2004114.0728571415</v>
      </c>
      <c r="M8" s="13">
        <v>1536893.3585714272</v>
      </c>
      <c r="N8" s="179">
        <v>43922</v>
      </c>
      <c r="O8" s="16">
        <v>45383</v>
      </c>
      <c r="P8" s="13">
        <v>144460</v>
      </c>
      <c r="Q8" s="222" t="e">
        <v>#VALUE!</v>
      </c>
    </row>
    <row r="9" spans="1:17" x14ac:dyDescent="0.2">
      <c r="A9" s="4" t="s">
        <v>26</v>
      </c>
      <c r="B9" s="13">
        <v>117378745.39</v>
      </c>
      <c r="C9" s="13">
        <v>103523746.62</v>
      </c>
      <c r="D9" s="13">
        <v>13854998.769999996</v>
      </c>
      <c r="E9" s="13">
        <v>1315925.4099999999</v>
      </c>
      <c r="F9" s="13">
        <v>3536351</v>
      </c>
      <c r="G9" s="14">
        <v>3.92</v>
      </c>
      <c r="H9" s="14">
        <v>0.37</v>
      </c>
      <c r="I9" s="13">
        <v>109660.45083333332</v>
      </c>
      <c r="J9" s="15">
        <v>4</v>
      </c>
      <c r="K9" s="13">
        <v>13416356.966666663</v>
      </c>
      <c r="L9" s="13">
        <v>1695574.192499999</v>
      </c>
      <c r="M9" s="13">
        <v>1253530.317499999</v>
      </c>
      <c r="N9" s="179">
        <v>43831</v>
      </c>
      <c r="O9" s="16">
        <v>45292</v>
      </c>
      <c r="P9" s="13">
        <v>217374.16</v>
      </c>
      <c r="Q9" s="222" t="e">
        <v>#VALUE!</v>
      </c>
    </row>
    <row r="10" spans="1:17" x14ac:dyDescent="0.2">
      <c r="A10" s="4" t="s">
        <v>27</v>
      </c>
      <c r="B10" s="13">
        <v>834419812</v>
      </c>
      <c r="C10" s="13">
        <v>761006276.76999998</v>
      </c>
      <c r="D10" s="13">
        <v>73413535.230000019</v>
      </c>
      <c r="E10" s="13">
        <v>13406473.77</v>
      </c>
      <c r="F10" s="13">
        <v>18835586</v>
      </c>
      <c r="G10" s="14">
        <v>3.9</v>
      </c>
      <c r="H10" s="14">
        <v>0.71</v>
      </c>
      <c r="I10" s="13">
        <v>1117206.1475</v>
      </c>
      <c r="J10" s="15">
        <v>1</v>
      </c>
      <c r="K10" s="13">
        <v>72296329.082500026</v>
      </c>
      <c r="L10" s="13">
        <v>35742363.230000019</v>
      </c>
      <c r="M10" s="13">
        <v>26324570.230000019</v>
      </c>
      <c r="N10" s="179">
        <v>43739</v>
      </c>
      <c r="O10" s="16">
        <v>45200</v>
      </c>
      <c r="P10" s="13">
        <v>1918933.13</v>
      </c>
      <c r="Q10" s="222" t="e">
        <v>#VALUE!</v>
      </c>
    </row>
    <row r="11" spans="1:17" x14ac:dyDescent="0.2">
      <c r="A11" s="4" t="s">
        <v>29</v>
      </c>
      <c r="B11" s="13">
        <v>782983569.92999995</v>
      </c>
      <c r="C11" s="13">
        <v>716877371.19000006</v>
      </c>
      <c r="D11" s="13">
        <v>66106198.73999989</v>
      </c>
      <c r="E11" s="13">
        <v>13754530.74</v>
      </c>
      <c r="F11" s="13">
        <v>17807834</v>
      </c>
      <c r="G11" s="14">
        <v>3.71</v>
      </c>
      <c r="H11" s="14">
        <v>0.77</v>
      </c>
      <c r="I11" s="13">
        <v>1146210.895</v>
      </c>
      <c r="J11" s="15">
        <v>0</v>
      </c>
      <c r="K11" s="13">
        <v>66106198.73999989</v>
      </c>
      <c r="L11" s="13" t="s">
        <v>20</v>
      </c>
      <c r="M11" s="13" t="s">
        <v>20</v>
      </c>
      <c r="N11" s="179">
        <v>43647</v>
      </c>
      <c r="O11" s="16">
        <v>45108</v>
      </c>
      <c r="P11" s="13">
        <v>1617390.11</v>
      </c>
      <c r="Q11" s="222" t="e">
        <v>#VALUE!</v>
      </c>
    </row>
    <row r="12" spans="1:17" x14ac:dyDescent="0.2">
      <c r="A12" s="4" t="s">
        <v>28</v>
      </c>
      <c r="B12" s="13">
        <v>1922975437</v>
      </c>
      <c r="C12" s="13">
        <v>1839925354.6700001</v>
      </c>
      <c r="D12" s="13">
        <v>83050082.329999924</v>
      </c>
      <c r="E12" s="13">
        <v>22230789.399999999</v>
      </c>
      <c r="F12" s="13">
        <v>22385506</v>
      </c>
      <c r="G12" s="14">
        <v>3.71</v>
      </c>
      <c r="H12" s="14">
        <v>0.99</v>
      </c>
      <c r="I12" s="13">
        <v>1852565.7833333332</v>
      </c>
      <c r="J12" s="15">
        <v>0</v>
      </c>
      <c r="K12" s="13">
        <v>83050082.329999924</v>
      </c>
      <c r="L12" s="13" t="s">
        <v>20</v>
      </c>
      <c r="M12" s="13" t="s">
        <v>20</v>
      </c>
      <c r="N12" s="179">
        <v>43647</v>
      </c>
      <c r="O12" s="16">
        <v>45108</v>
      </c>
      <c r="P12" s="13">
        <v>2296199.83</v>
      </c>
      <c r="Q12" s="222" t="e">
        <v>#VALUE!</v>
      </c>
    </row>
    <row r="13" spans="1:17" x14ac:dyDescent="0.2">
      <c r="A13" s="4" t="s">
        <v>31</v>
      </c>
      <c r="B13" s="13">
        <v>482520235</v>
      </c>
      <c r="C13" s="13">
        <v>441299484.08999997</v>
      </c>
      <c r="D13" s="13">
        <v>41220750.910000026</v>
      </c>
      <c r="E13" s="13">
        <v>9354610.0399999991</v>
      </c>
      <c r="F13" s="13">
        <v>11231021</v>
      </c>
      <c r="G13" s="14">
        <v>3.67</v>
      </c>
      <c r="H13" s="14">
        <v>0.83</v>
      </c>
      <c r="I13" s="13">
        <v>779550.83666666655</v>
      </c>
      <c r="J13" s="15">
        <v>4</v>
      </c>
      <c r="K13" s="13">
        <v>38102547.563333362</v>
      </c>
      <c r="L13" s="13">
        <v>4689677.2275000066</v>
      </c>
      <c r="M13" s="13">
        <v>3285799.6025000066</v>
      </c>
      <c r="N13" s="179">
        <v>43831</v>
      </c>
      <c r="O13" s="16">
        <v>45292</v>
      </c>
      <c r="P13" s="13">
        <v>1136797.08</v>
      </c>
      <c r="Q13" s="222" t="e">
        <v>#VALUE!</v>
      </c>
    </row>
    <row r="14" spans="1:17" x14ac:dyDescent="0.2">
      <c r="A14" s="4" t="s">
        <v>30</v>
      </c>
      <c r="B14" s="13">
        <v>1002620982.45</v>
      </c>
      <c r="C14" s="13">
        <v>930326134.86000001</v>
      </c>
      <c r="D14" s="13">
        <v>72294847.590000033</v>
      </c>
      <c r="E14" s="13">
        <v>23262438.859999999</v>
      </c>
      <c r="F14" s="13">
        <v>19866653</v>
      </c>
      <c r="G14" s="14">
        <v>3.64</v>
      </c>
      <c r="H14" s="14">
        <v>1.17</v>
      </c>
      <c r="I14" s="13">
        <v>1938536.5716666665</v>
      </c>
      <c r="J14" s="15">
        <v>7</v>
      </c>
      <c r="K14" s="13">
        <v>58725091.588333368</v>
      </c>
      <c r="L14" s="13">
        <v>4651648.7985714329</v>
      </c>
      <c r="M14" s="13">
        <v>3232602.1557142907</v>
      </c>
      <c r="N14" s="179">
        <v>43922</v>
      </c>
      <c r="O14" s="16">
        <v>45383</v>
      </c>
      <c r="P14" s="13">
        <v>3159396</v>
      </c>
      <c r="Q14" s="222" t="e">
        <v>#VALUE!</v>
      </c>
    </row>
    <row r="15" spans="1:17" x14ac:dyDescent="0.2">
      <c r="A15" s="4" t="s">
        <v>34</v>
      </c>
      <c r="B15" s="13">
        <v>1408362784.9100001</v>
      </c>
      <c r="C15" s="13">
        <v>1299890177.1099999</v>
      </c>
      <c r="D15" s="13">
        <v>108472607.80000019</v>
      </c>
      <c r="E15" s="13">
        <v>32724699.84</v>
      </c>
      <c r="F15" s="13">
        <v>31050303</v>
      </c>
      <c r="G15" s="14">
        <v>3.49</v>
      </c>
      <c r="H15" s="14">
        <v>1.05</v>
      </c>
      <c r="I15" s="13">
        <v>2727058.32</v>
      </c>
      <c r="J15" s="15">
        <v>0</v>
      </c>
      <c r="K15" s="13">
        <v>108472607.80000019</v>
      </c>
      <c r="L15" s="13" t="s">
        <v>20</v>
      </c>
      <c r="M15" s="13" t="s">
        <v>20</v>
      </c>
      <c r="N15" s="179">
        <v>43647</v>
      </c>
      <c r="O15" s="16">
        <v>45108</v>
      </c>
      <c r="P15" s="13">
        <v>342084.87</v>
      </c>
      <c r="Q15" s="222" t="e">
        <v>#VALUE!</v>
      </c>
    </row>
    <row r="16" spans="1:17" x14ac:dyDescent="0.2">
      <c r="A16" s="4" t="s">
        <v>32</v>
      </c>
      <c r="B16" s="13">
        <v>1141786689.4400001</v>
      </c>
      <c r="C16" s="13">
        <v>1051817193.92</v>
      </c>
      <c r="D16" s="13">
        <v>89969495.5200001</v>
      </c>
      <c r="E16" s="13">
        <v>21632206.690000001</v>
      </c>
      <c r="F16" s="13">
        <v>26492151</v>
      </c>
      <c r="G16" s="14">
        <v>3.4</v>
      </c>
      <c r="H16" s="14">
        <v>0.82</v>
      </c>
      <c r="I16" s="13">
        <v>1802683.8908333334</v>
      </c>
      <c r="J16" s="15">
        <v>0</v>
      </c>
      <c r="K16" s="13">
        <v>89969495.5200001</v>
      </c>
      <c r="L16" s="13" t="s">
        <v>20</v>
      </c>
      <c r="M16" s="13" t="s">
        <v>20</v>
      </c>
      <c r="N16" s="179">
        <v>43647</v>
      </c>
      <c r="O16" s="16">
        <v>45108</v>
      </c>
      <c r="P16" s="13">
        <v>2665611.5</v>
      </c>
      <c r="Q16" s="222" t="e">
        <v>#VALUE!</v>
      </c>
    </row>
    <row r="17" spans="1:17" x14ac:dyDescent="0.2">
      <c r="A17" s="4" t="s">
        <v>35</v>
      </c>
      <c r="B17" s="13">
        <v>775111638</v>
      </c>
      <c r="C17" s="13">
        <v>711608898.84000003</v>
      </c>
      <c r="D17" s="13">
        <v>63502739.159999967</v>
      </c>
      <c r="E17" s="13">
        <v>13896046.35</v>
      </c>
      <c r="F17" s="13">
        <v>18806749</v>
      </c>
      <c r="G17" s="14">
        <v>3.38</v>
      </c>
      <c r="H17" s="14">
        <v>0.74</v>
      </c>
      <c r="I17" s="13">
        <v>1158003.8625</v>
      </c>
      <c r="J17" s="15">
        <v>0</v>
      </c>
      <c r="K17" s="13">
        <v>63502739.159999967</v>
      </c>
      <c r="L17" s="13" t="s">
        <v>20</v>
      </c>
      <c r="M17" s="13" t="s">
        <v>20</v>
      </c>
      <c r="N17" s="179">
        <v>43647</v>
      </c>
      <c r="O17" s="16">
        <v>45108</v>
      </c>
      <c r="P17" s="13">
        <v>2678914.79</v>
      </c>
      <c r="Q17" s="222" t="e">
        <v>#VALUE!</v>
      </c>
    </row>
    <row r="18" spans="1:17" x14ac:dyDescent="0.2">
      <c r="A18" s="4" t="s">
        <v>33</v>
      </c>
      <c r="B18" s="13">
        <v>987264872</v>
      </c>
      <c r="C18" s="13">
        <v>908649718.46000004</v>
      </c>
      <c r="D18" s="13">
        <v>78615153.539999962</v>
      </c>
      <c r="E18" s="13">
        <v>28518883.09</v>
      </c>
      <c r="F18" s="13">
        <v>23383549</v>
      </c>
      <c r="G18" s="14">
        <v>3.36</v>
      </c>
      <c r="H18" s="14">
        <v>1.22</v>
      </c>
      <c r="I18" s="13">
        <v>2376573.5908333333</v>
      </c>
      <c r="J18" s="15">
        <v>7</v>
      </c>
      <c r="K18" s="13">
        <v>61979138.404166624</v>
      </c>
      <c r="L18" s="13">
        <v>4549722.2199999942</v>
      </c>
      <c r="M18" s="13">
        <v>2879468.7199999946</v>
      </c>
      <c r="N18" s="179">
        <v>43922</v>
      </c>
      <c r="O18" s="16">
        <v>45383</v>
      </c>
      <c r="P18" s="13">
        <v>2106695.23</v>
      </c>
      <c r="Q18" s="222" t="e">
        <v>#VALUE!</v>
      </c>
    </row>
    <row r="19" spans="1:17" x14ac:dyDescent="0.2">
      <c r="A19" s="4" t="s">
        <v>37</v>
      </c>
      <c r="B19" s="13">
        <v>183964974</v>
      </c>
      <c r="C19" s="13">
        <v>171139615.47</v>
      </c>
      <c r="D19" s="13">
        <v>12825358.530000001</v>
      </c>
      <c r="E19" s="13">
        <v>2147526.85</v>
      </c>
      <c r="F19" s="13">
        <v>3849554</v>
      </c>
      <c r="G19" s="14">
        <v>3.33</v>
      </c>
      <c r="H19" s="14">
        <v>0.56000000000000005</v>
      </c>
      <c r="I19" s="13">
        <v>178960.57083333333</v>
      </c>
      <c r="J19" s="15">
        <v>0</v>
      </c>
      <c r="K19" s="13">
        <v>12825358.530000001</v>
      </c>
      <c r="L19" s="13" t="s">
        <v>20</v>
      </c>
      <c r="M19" s="13" t="s">
        <v>20</v>
      </c>
      <c r="N19" s="179">
        <v>43647</v>
      </c>
      <c r="O19" s="16">
        <v>45108</v>
      </c>
      <c r="P19" s="13">
        <v>159293.69</v>
      </c>
      <c r="Q19" s="222" t="e">
        <v>#VALUE!</v>
      </c>
    </row>
    <row r="20" spans="1:17" x14ac:dyDescent="0.2">
      <c r="A20" s="4" t="s">
        <v>36</v>
      </c>
      <c r="B20" s="13">
        <v>383394888</v>
      </c>
      <c r="C20" s="13">
        <v>352830035.75</v>
      </c>
      <c r="D20" s="13">
        <v>30564852.25</v>
      </c>
      <c r="E20" s="13">
        <v>7459479.1900000004</v>
      </c>
      <c r="F20" s="13">
        <v>9345978</v>
      </c>
      <c r="G20" s="14">
        <v>3.27</v>
      </c>
      <c r="H20" s="14">
        <v>0.8</v>
      </c>
      <c r="I20" s="13">
        <v>621623.26583333337</v>
      </c>
      <c r="J20" s="15">
        <v>7</v>
      </c>
      <c r="K20" s="13">
        <v>26213489.389166668</v>
      </c>
      <c r="L20" s="13">
        <v>1696128.0357142857</v>
      </c>
      <c r="M20" s="13">
        <v>1028558.1785714285</v>
      </c>
      <c r="N20" s="179">
        <v>43556</v>
      </c>
      <c r="O20" s="16">
        <v>45383</v>
      </c>
      <c r="P20" s="13">
        <v>1439301.79</v>
      </c>
      <c r="Q20" s="222" t="e">
        <v>#VALUE!</v>
      </c>
    </row>
    <row r="21" spans="1:17" x14ac:dyDescent="0.2">
      <c r="A21" s="4" t="s">
        <v>39</v>
      </c>
      <c r="B21" s="13">
        <v>490026128.91000003</v>
      </c>
      <c r="C21" s="13">
        <v>456779100.47000003</v>
      </c>
      <c r="D21" s="13">
        <v>33247028.439999998</v>
      </c>
      <c r="E21" s="13">
        <v>10594866.25</v>
      </c>
      <c r="F21" s="13">
        <v>10665728</v>
      </c>
      <c r="G21" s="14">
        <v>3.12</v>
      </c>
      <c r="H21" s="14">
        <v>0.99</v>
      </c>
      <c r="I21" s="13">
        <v>882905.52083333337</v>
      </c>
      <c r="J21" s="15">
        <v>0</v>
      </c>
      <c r="K21" s="13">
        <v>33247028.439999998</v>
      </c>
      <c r="L21" s="13" t="s">
        <v>20</v>
      </c>
      <c r="M21" s="13" t="s">
        <v>20</v>
      </c>
      <c r="N21" s="179">
        <v>43647</v>
      </c>
      <c r="O21" s="16">
        <v>45108</v>
      </c>
      <c r="P21" s="13">
        <v>546055.11</v>
      </c>
      <c r="Q21" s="222" t="e">
        <v>#VALUE!</v>
      </c>
    </row>
    <row r="22" spans="1:17" x14ac:dyDescent="0.2">
      <c r="A22" s="4" t="s">
        <v>40</v>
      </c>
      <c r="B22" s="13">
        <v>192099724.25999999</v>
      </c>
      <c r="C22" s="13">
        <v>175340859.06</v>
      </c>
      <c r="D22" s="13">
        <v>16758865.199999988</v>
      </c>
      <c r="E22" s="13">
        <v>4268732.76</v>
      </c>
      <c r="F22" s="13">
        <v>5427145</v>
      </c>
      <c r="G22" s="14">
        <v>3.09</v>
      </c>
      <c r="H22" s="14">
        <v>0.79</v>
      </c>
      <c r="I22" s="13">
        <v>355727.73</v>
      </c>
      <c r="J22" s="15">
        <v>0</v>
      </c>
      <c r="K22" s="13">
        <v>16758865.199999988</v>
      </c>
      <c r="L22" s="13" t="s">
        <v>20</v>
      </c>
      <c r="M22" s="13" t="s">
        <v>20</v>
      </c>
      <c r="N22" s="179">
        <v>43647</v>
      </c>
      <c r="O22" s="16">
        <v>45108</v>
      </c>
      <c r="P22" s="13">
        <v>0</v>
      </c>
      <c r="Q22" s="222" t="e">
        <v>#VALUE!</v>
      </c>
    </row>
    <row r="23" spans="1:17" x14ac:dyDescent="0.2">
      <c r="A23" s="4" t="s">
        <v>43</v>
      </c>
      <c r="B23" s="13">
        <v>248558577</v>
      </c>
      <c r="C23" s="13">
        <v>231725799.12</v>
      </c>
      <c r="D23" s="13">
        <v>16832777.879999995</v>
      </c>
      <c r="E23" s="13">
        <v>6889807.75</v>
      </c>
      <c r="F23" s="13">
        <v>5790145</v>
      </c>
      <c r="G23" s="14">
        <v>2.91</v>
      </c>
      <c r="H23" s="14">
        <v>1.19</v>
      </c>
      <c r="I23" s="13">
        <v>574150.64583333337</v>
      </c>
      <c r="J23" s="15">
        <v>4</v>
      </c>
      <c r="K23" s="13">
        <v>14536175.296666661</v>
      </c>
      <c r="L23" s="13">
        <v>1313121.9699999988</v>
      </c>
      <c r="M23" s="13">
        <v>589353.84499999881</v>
      </c>
      <c r="N23" s="179">
        <v>43831</v>
      </c>
      <c r="O23" s="16">
        <v>45292</v>
      </c>
      <c r="P23" s="13">
        <v>473250.81</v>
      </c>
      <c r="Q23" s="222" t="e">
        <v>#VALUE!</v>
      </c>
    </row>
    <row r="24" spans="1:17" x14ac:dyDescent="0.2">
      <c r="A24" s="4" t="s">
        <v>46</v>
      </c>
      <c r="B24" s="13">
        <v>306076596.48000002</v>
      </c>
      <c r="C24" s="13">
        <v>282500166.33999997</v>
      </c>
      <c r="D24" s="13">
        <v>23576430.140000045</v>
      </c>
      <c r="E24" s="13">
        <v>6603019.3700000001</v>
      </c>
      <c r="F24" s="13">
        <v>8165077</v>
      </c>
      <c r="G24" s="14">
        <v>2.89</v>
      </c>
      <c r="H24" s="14">
        <v>0.81</v>
      </c>
      <c r="I24" s="13">
        <v>550251.61416666664</v>
      </c>
      <c r="J24" s="15">
        <v>0</v>
      </c>
      <c r="K24" s="13">
        <v>23576430.140000045</v>
      </c>
      <c r="L24" s="13" t="s">
        <v>20</v>
      </c>
      <c r="M24" s="13" t="s">
        <v>20</v>
      </c>
      <c r="N24" s="179">
        <v>43647</v>
      </c>
      <c r="O24" s="16">
        <v>45108</v>
      </c>
      <c r="P24" s="13">
        <v>253880.01</v>
      </c>
      <c r="Q24" s="222" t="e">
        <v>#VALUE!</v>
      </c>
    </row>
    <row r="25" spans="1:17" x14ac:dyDescent="0.2">
      <c r="A25" s="4" t="s">
        <v>41</v>
      </c>
      <c r="B25" s="13">
        <v>1181321553.53</v>
      </c>
      <c r="C25" s="13">
        <v>1044923605.1900001</v>
      </c>
      <c r="D25" s="13">
        <v>136397948.33999991</v>
      </c>
      <c r="E25" s="13">
        <v>61232415.700000003</v>
      </c>
      <c r="F25" s="13">
        <v>47769843</v>
      </c>
      <c r="G25" s="14">
        <v>2.86</v>
      </c>
      <c r="H25" s="14">
        <v>1.28</v>
      </c>
      <c r="I25" s="13">
        <v>5102701.3083333336</v>
      </c>
      <c r="J25" s="15">
        <v>4</v>
      </c>
      <c r="K25" s="13">
        <v>115987143.10666658</v>
      </c>
      <c r="L25" s="13">
        <v>10214565.584999979</v>
      </c>
      <c r="M25" s="13" t="s">
        <v>42</v>
      </c>
      <c r="N25" s="179">
        <v>43831</v>
      </c>
      <c r="O25" s="16">
        <v>45292</v>
      </c>
      <c r="P25" s="13">
        <v>5643332.1799999997</v>
      </c>
      <c r="Q25" s="222" t="e">
        <v>#VALUE!</v>
      </c>
    </row>
    <row r="26" spans="1:17" x14ac:dyDescent="0.2">
      <c r="A26" s="4" t="s">
        <v>45</v>
      </c>
      <c r="B26" s="13">
        <v>1960284894.29</v>
      </c>
      <c r="C26" s="13">
        <v>1843026428</v>
      </c>
      <c r="D26" s="13">
        <v>117258466.28999996</v>
      </c>
      <c r="E26" s="13">
        <v>39959493.549999997</v>
      </c>
      <c r="F26" s="13">
        <v>41120349</v>
      </c>
      <c r="G26" s="14">
        <v>2.85</v>
      </c>
      <c r="H26" s="14">
        <v>0.97</v>
      </c>
      <c r="I26" s="13">
        <v>3329957.7958333329</v>
      </c>
      <c r="J26" s="15">
        <v>4</v>
      </c>
      <c r="K26" s="13">
        <v>103938635.10666662</v>
      </c>
      <c r="L26" s="13">
        <v>8754442.0724999905</v>
      </c>
      <c r="M26" s="13">
        <v>3614398.4474999905</v>
      </c>
      <c r="N26" s="179">
        <v>43831</v>
      </c>
      <c r="O26" s="16">
        <v>45292</v>
      </c>
      <c r="P26" s="13">
        <v>2591885.17</v>
      </c>
      <c r="Q26" s="222" t="e">
        <v>#VALUE!</v>
      </c>
    </row>
    <row r="27" spans="1:17" x14ac:dyDescent="0.2">
      <c r="A27" s="4" t="s">
        <v>47</v>
      </c>
      <c r="B27" s="13">
        <v>101716763</v>
      </c>
      <c r="C27" s="13">
        <v>94185840.170000002</v>
      </c>
      <c r="D27" s="13">
        <v>7530922.8299999982</v>
      </c>
      <c r="E27" s="13">
        <v>2245337.5</v>
      </c>
      <c r="F27" s="13">
        <v>2699725</v>
      </c>
      <c r="G27" s="14">
        <v>2.79</v>
      </c>
      <c r="H27" s="14">
        <v>0.83</v>
      </c>
      <c r="I27" s="13">
        <v>187111.45833333334</v>
      </c>
      <c r="J27" s="15">
        <v>0</v>
      </c>
      <c r="K27" s="13">
        <v>7530922.8299999982</v>
      </c>
      <c r="L27" s="13" t="s">
        <v>20</v>
      </c>
      <c r="M27" s="13" t="s">
        <v>20</v>
      </c>
      <c r="N27" s="179">
        <v>43647</v>
      </c>
      <c r="O27" s="16">
        <v>45108</v>
      </c>
      <c r="P27" s="13">
        <v>216899.08</v>
      </c>
      <c r="Q27" s="222" t="e">
        <v>#VALUE!</v>
      </c>
    </row>
    <row r="28" spans="1:17" x14ac:dyDescent="0.2">
      <c r="A28" s="4" t="s">
        <v>38</v>
      </c>
      <c r="B28" s="13">
        <v>514448817.88</v>
      </c>
      <c r="C28" s="13">
        <v>475586193.95999998</v>
      </c>
      <c r="D28" s="13">
        <v>38862623.920000017</v>
      </c>
      <c r="E28" s="13">
        <v>9457572.1199999992</v>
      </c>
      <c r="F28" s="13">
        <v>13912108</v>
      </c>
      <c r="G28" s="14">
        <v>2.79</v>
      </c>
      <c r="H28" s="14">
        <v>0.68</v>
      </c>
      <c r="I28" s="13">
        <v>788131.00999999989</v>
      </c>
      <c r="J28" s="15">
        <v>0</v>
      </c>
      <c r="K28" s="13">
        <v>38862623.920000017</v>
      </c>
      <c r="L28" s="13" t="s">
        <v>20</v>
      </c>
      <c r="M28" s="13" t="s">
        <v>20</v>
      </c>
      <c r="N28" s="179">
        <v>43647</v>
      </c>
      <c r="O28" s="16">
        <v>45108</v>
      </c>
      <c r="P28" s="13">
        <v>3971531.72</v>
      </c>
      <c r="Q28" s="222" t="e">
        <v>#VALUE!</v>
      </c>
    </row>
    <row r="29" spans="1:17" x14ac:dyDescent="0.2">
      <c r="A29" s="4" t="s">
        <v>51</v>
      </c>
      <c r="B29" s="13">
        <v>1035563531</v>
      </c>
      <c r="C29" s="13">
        <v>972018543.64999998</v>
      </c>
      <c r="D29" s="13">
        <v>63544987.350000024</v>
      </c>
      <c r="E29" s="13">
        <v>20167544.710000001</v>
      </c>
      <c r="F29" s="13">
        <v>24645105</v>
      </c>
      <c r="G29" s="14">
        <v>2.58</v>
      </c>
      <c r="H29" s="14">
        <v>0.82</v>
      </c>
      <c r="I29" s="13">
        <v>1680628.7258333333</v>
      </c>
      <c r="J29" s="15">
        <v>4</v>
      </c>
      <c r="K29" s="13">
        <v>56822472.446666688</v>
      </c>
      <c r="L29" s="13">
        <v>3563694.337500006</v>
      </c>
      <c r="M29" s="13" t="s">
        <v>42</v>
      </c>
      <c r="N29" s="179">
        <v>43831</v>
      </c>
      <c r="O29" s="16">
        <v>45292</v>
      </c>
      <c r="P29" s="13">
        <v>2098369</v>
      </c>
      <c r="Q29" s="222" t="e">
        <v>#VALUE!</v>
      </c>
    </row>
    <row r="30" spans="1:17" x14ac:dyDescent="0.2">
      <c r="A30" s="4" t="s">
        <v>49</v>
      </c>
      <c r="B30" s="13">
        <v>1215383392.1700001</v>
      </c>
      <c r="C30" s="13">
        <v>1153567045.97</v>
      </c>
      <c r="D30" s="13">
        <v>61816346.200000048</v>
      </c>
      <c r="E30" s="13">
        <v>17820067.640000001</v>
      </c>
      <c r="F30" s="13">
        <v>24335266</v>
      </c>
      <c r="G30" s="14">
        <v>2.54</v>
      </c>
      <c r="H30" s="14">
        <v>0.73</v>
      </c>
      <c r="I30" s="13">
        <v>1485005.6366666667</v>
      </c>
      <c r="J30" s="15">
        <v>0</v>
      </c>
      <c r="K30" s="13">
        <v>61816346.200000048</v>
      </c>
      <c r="L30" s="13" t="s">
        <v>20</v>
      </c>
      <c r="M30" s="13" t="s">
        <v>20</v>
      </c>
      <c r="N30" s="179">
        <v>43647</v>
      </c>
      <c r="O30" s="16">
        <v>45108</v>
      </c>
      <c r="P30" s="13">
        <v>4690744.46</v>
      </c>
      <c r="Q30" s="222" t="e">
        <v>#VALUE!</v>
      </c>
    </row>
    <row r="31" spans="1:17" x14ac:dyDescent="0.2">
      <c r="A31" s="4" t="s">
        <v>50</v>
      </c>
      <c r="B31" s="13">
        <v>1601312682.0699999</v>
      </c>
      <c r="C31" s="13">
        <v>1496868765.77</v>
      </c>
      <c r="D31" s="13">
        <v>104443916.29999995</v>
      </c>
      <c r="E31" s="13">
        <v>40079410.960000001</v>
      </c>
      <c r="F31" s="13">
        <v>41389514</v>
      </c>
      <c r="G31" s="14">
        <v>2.52</v>
      </c>
      <c r="H31" s="14">
        <v>0.97</v>
      </c>
      <c r="I31" s="13">
        <v>3339950.9133333336</v>
      </c>
      <c r="J31" s="15">
        <v>0</v>
      </c>
      <c r="K31" s="13">
        <v>104443916.29999995</v>
      </c>
      <c r="L31" s="13" t="s">
        <v>20</v>
      </c>
      <c r="M31" s="13" t="s">
        <v>20</v>
      </c>
      <c r="N31" s="179">
        <v>43647</v>
      </c>
      <c r="O31" s="16">
        <v>45108</v>
      </c>
      <c r="P31" s="13">
        <v>5171817.04</v>
      </c>
      <c r="Q31" s="222" t="e">
        <v>#VALUE!</v>
      </c>
    </row>
    <row r="32" spans="1:17" x14ac:dyDescent="0.2">
      <c r="A32" s="4" t="s">
        <v>48</v>
      </c>
      <c r="B32" s="13">
        <v>533753437.31</v>
      </c>
      <c r="C32" s="13">
        <v>505110024.31</v>
      </c>
      <c r="D32" s="13">
        <v>28643413</v>
      </c>
      <c r="E32" s="13">
        <v>17912801</v>
      </c>
      <c r="F32" s="13">
        <v>11499421</v>
      </c>
      <c r="G32" s="14">
        <v>2.4900000000000002</v>
      </c>
      <c r="H32" s="14">
        <v>1.56</v>
      </c>
      <c r="I32" s="13">
        <v>1492733.4166666667</v>
      </c>
      <c r="J32" s="15">
        <v>4</v>
      </c>
      <c r="K32" s="13">
        <v>22672479.333333332</v>
      </c>
      <c r="L32" s="13" t="s">
        <v>42</v>
      </c>
      <c r="M32" s="13" t="s">
        <v>42</v>
      </c>
      <c r="N32" s="179">
        <v>43831</v>
      </c>
      <c r="O32" s="16">
        <v>45292</v>
      </c>
      <c r="P32" s="13">
        <v>3008053</v>
      </c>
      <c r="Q32" s="222" t="e">
        <v>#VALUE!</v>
      </c>
    </row>
    <row r="33" spans="1:17" x14ac:dyDescent="0.2">
      <c r="A33" s="4" t="s">
        <v>44</v>
      </c>
      <c r="B33" s="13">
        <v>287073942.33999997</v>
      </c>
      <c r="C33" s="13">
        <v>270712332.31</v>
      </c>
      <c r="D33" s="13">
        <v>16361610.029999971</v>
      </c>
      <c r="E33" s="13">
        <v>8189639.6600000001</v>
      </c>
      <c r="F33" s="13">
        <v>6707393</v>
      </c>
      <c r="G33" s="14">
        <v>2.44</v>
      </c>
      <c r="H33" s="14">
        <v>1.22</v>
      </c>
      <c r="I33" s="13">
        <v>682469.97166666668</v>
      </c>
      <c r="J33" s="15">
        <v>0</v>
      </c>
      <c r="K33" s="13">
        <v>16361610.029999971</v>
      </c>
      <c r="L33" s="13" t="s">
        <v>20</v>
      </c>
      <c r="M33" s="13" t="s">
        <v>42</v>
      </c>
      <c r="N33" s="179">
        <v>43647</v>
      </c>
      <c r="O33" s="16">
        <v>45108</v>
      </c>
      <c r="P33" s="13">
        <v>3393783.81</v>
      </c>
      <c r="Q33" s="222" t="e">
        <v>#VALUE!</v>
      </c>
    </row>
    <row r="34" spans="1:17" x14ac:dyDescent="0.2">
      <c r="A34" s="4" t="s">
        <v>52</v>
      </c>
      <c r="B34" s="13">
        <v>508943489</v>
      </c>
      <c r="C34" s="13">
        <v>477768065.85000002</v>
      </c>
      <c r="D34" s="13">
        <v>31175423.149999976</v>
      </c>
      <c r="E34" s="13">
        <v>11788188.49</v>
      </c>
      <c r="F34" s="13">
        <v>12834399</v>
      </c>
      <c r="G34" s="14">
        <v>2.4300000000000002</v>
      </c>
      <c r="H34" s="14">
        <v>0.92</v>
      </c>
      <c r="I34" s="13">
        <v>982349.04083333339</v>
      </c>
      <c r="J34" s="15">
        <v>0</v>
      </c>
      <c r="K34" s="13">
        <v>31175423.149999976</v>
      </c>
      <c r="L34" s="13" t="s">
        <v>20</v>
      </c>
      <c r="M34" s="13" t="s">
        <v>42</v>
      </c>
      <c r="N34" s="179">
        <v>43647</v>
      </c>
      <c r="O34" s="16">
        <v>45108</v>
      </c>
      <c r="P34" s="13">
        <v>1256512.6599999999</v>
      </c>
      <c r="Q34" s="222" t="e">
        <v>#VALUE!</v>
      </c>
    </row>
    <row r="35" spans="1:17" x14ac:dyDescent="0.2">
      <c r="A35" s="4" t="s">
        <v>53</v>
      </c>
      <c r="B35" s="13">
        <v>2808699464.54</v>
      </c>
      <c r="C35" s="13">
        <v>2642532851.0500002</v>
      </c>
      <c r="D35" s="13">
        <v>166166613.48999977</v>
      </c>
      <c r="E35" s="13">
        <v>72098535.659999996</v>
      </c>
      <c r="F35" s="13">
        <v>68807928.950000003</v>
      </c>
      <c r="G35" s="14">
        <v>2.41</v>
      </c>
      <c r="H35" s="14">
        <v>1.05</v>
      </c>
      <c r="I35" s="13">
        <v>6008211.3049999997</v>
      </c>
      <c r="J35" s="15">
        <v>0</v>
      </c>
      <c r="K35" s="13">
        <v>166166613.48999977</v>
      </c>
      <c r="L35" s="13" t="s">
        <v>20</v>
      </c>
      <c r="M35" s="13" t="s">
        <v>42</v>
      </c>
      <c r="N35" s="179">
        <v>44075</v>
      </c>
      <c r="O35" s="16">
        <v>45170</v>
      </c>
      <c r="P35" s="13">
        <v>6133566.79</v>
      </c>
      <c r="Q35" s="222" t="e">
        <v>#VALUE!</v>
      </c>
    </row>
    <row r="36" spans="1:17" x14ac:dyDescent="0.2">
      <c r="A36" s="4" t="s">
        <v>54</v>
      </c>
      <c r="B36" s="13">
        <v>1359513127.99</v>
      </c>
      <c r="C36" s="13">
        <v>1280101267.3199999</v>
      </c>
      <c r="D36" s="13">
        <v>79411860.670000076</v>
      </c>
      <c r="E36" s="13">
        <v>29707708.390000001</v>
      </c>
      <c r="F36" s="13">
        <v>33898476</v>
      </c>
      <c r="G36" s="14">
        <v>2.34</v>
      </c>
      <c r="H36" s="14">
        <v>0.88</v>
      </c>
      <c r="I36" s="13">
        <v>2475642.3658333332</v>
      </c>
      <c r="J36" s="15">
        <v>7</v>
      </c>
      <c r="K36" s="13">
        <v>62082364.109166741</v>
      </c>
      <c r="L36" s="13" t="s">
        <v>42</v>
      </c>
      <c r="M36" s="13" t="s">
        <v>42</v>
      </c>
      <c r="N36" s="179">
        <v>43922</v>
      </c>
      <c r="O36" s="16">
        <v>45383</v>
      </c>
      <c r="P36" s="13">
        <v>4519591.78</v>
      </c>
      <c r="Q36" s="222" t="e">
        <v>#VALUE!</v>
      </c>
    </row>
    <row r="37" spans="1:17" x14ac:dyDescent="0.2">
      <c r="A37" s="4" t="s">
        <v>55</v>
      </c>
      <c r="B37" s="13">
        <v>660266370</v>
      </c>
      <c r="C37" s="13">
        <v>625770086.36000001</v>
      </c>
      <c r="D37" s="13">
        <v>34496283.639999986</v>
      </c>
      <c r="E37" s="13">
        <v>13816652.98</v>
      </c>
      <c r="F37" s="13">
        <v>14821600</v>
      </c>
      <c r="G37" s="14">
        <v>2.33</v>
      </c>
      <c r="H37" s="14">
        <v>0.93</v>
      </c>
      <c r="I37" s="13">
        <v>1151387.7483333333</v>
      </c>
      <c r="J37" s="15">
        <v>4</v>
      </c>
      <c r="K37" s="13">
        <v>29890732.646666653</v>
      </c>
      <c r="L37" s="13">
        <v>1213270.9099999964</v>
      </c>
      <c r="M37" s="13" t="s">
        <v>42</v>
      </c>
      <c r="N37" s="179">
        <v>43466</v>
      </c>
      <c r="O37" s="16">
        <v>45292</v>
      </c>
      <c r="P37" s="13">
        <v>1265546.72</v>
      </c>
      <c r="Q37" s="222" t="e">
        <v>#VALUE!</v>
      </c>
    </row>
    <row r="38" spans="1:17" x14ac:dyDescent="0.2">
      <c r="A38" s="4" t="s">
        <v>56</v>
      </c>
      <c r="B38" s="13">
        <v>1127333975</v>
      </c>
      <c r="C38" s="13">
        <v>1063198595.2</v>
      </c>
      <c r="D38" s="13">
        <v>64135379.799999952</v>
      </c>
      <c r="E38" s="13">
        <v>28001157.329999998</v>
      </c>
      <c r="F38" s="13">
        <v>28091254</v>
      </c>
      <c r="G38" s="14">
        <v>2.2799999999999998</v>
      </c>
      <c r="H38" s="14">
        <v>1</v>
      </c>
      <c r="I38" s="13">
        <v>2333429.7774999999</v>
      </c>
      <c r="J38" s="15">
        <v>0</v>
      </c>
      <c r="K38" s="13">
        <v>64135379.799999952</v>
      </c>
      <c r="L38" s="13" t="s">
        <v>20</v>
      </c>
      <c r="M38" s="13" t="s">
        <v>42</v>
      </c>
      <c r="N38" s="179">
        <v>43647</v>
      </c>
      <c r="O38" s="16">
        <v>45108</v>
      </c>
      <c r="P38" s="13">
        <v>981836.48</v>
      </c>
      <c r="Q38" s="222" t="e">
        <v>#VALUE!</v>
      </c>
    </row>
    <row r="39" spans="1:17" x14ac:dyDescent="0.2">
      <c r="A39" s="4" t="s">
        <v>59</v>
      </c>
      <c r="B39" s="13">
        <v>270139589</v>
      </c>
      <c r="C39" s="13">
        <v>253596840.47999999</v>
      </c>
      <c r="D39" s="13">
        <v>16542748.520000011</v>
      </c>
      <c r="E39" s="13">
        <v>6606223.0999999996</v>
      </c>
      <c r="F39" s="13">
        <v>7334647</v>
      </c>
      <c r="G39" s="14">
        <v>2.2599999999999998</v>
      </c>
      <c r="H39" s="14">
        <v>0.9</v>
      </c>
      <c r="I39" s="13">
        <v>550518.59166666667</v>
      </c>
      <c r="J39" s="15">
        <v>0</v>
      </c>
      <c r="K39" s="13">
        <v>16542748.520000011</v>
      </c>
      <c r="L39" s="13" t="s">
        <v>20</v>
      </c>
      <c r="M39" s="13" t="s">
        <v>42</v>
      </c>
      <c r="N39" s="179">
        <v>43647</v>
      </c>
      <c r="O39" s="16">
        <v>45108</v>
      </c>
      <c r="P39" s="13">
        <v>108278</v>
      </c>
      <c r="Q39" s="222" t="e">
        <v>#VALUE!</v>
      </c>
    </row>
    <row r="40" spans="1:17" x14ac:dyDescent="0.2">
      <c r="A40" s="4" t="s">
        <v>58</v>
      </c>
      <c r="B40" s="13">
        <v>1182616448</v>
      </c>
      <c r="C40" s="13">
        <v>1131649346.78</v>
      </c>
      <c r="D40" s="13">
        <v>50967101.220000029</v>
      </c>
      <c r="E40" s="13">
        <v>20137230.050000001</v>
      </c>
      <c r="F40" s="13">
        <v>22759065</v>
      </c>
      <c r="G40" s="14">
        <v>2.2400000000000002</v>
      </c>
      <c r="H40" s="14">
        <v>0.88</v>
      </c>
      <c r="I40" s="13">
        <v>1678102.5041666667</v>
      </c>
      <c r="J40" s="15">
        <v>7</v>
      </c>
      <c r="K40" s="13">
        <v>39220383.69083336</v>
      </c>
      <c r="L40" s="13" t="s">
        <v>42</v>
      </c>
      <c r="M40" s="13" t="s">
        <v>42</v>
      </c>
      <c r="N40" s="179">
        <v>43922</v>
      </c>
      <c r="O40" s="16">
        <v>45383</v>
      </c>
      <c r="P40" s="13">
        <v>663928.75</v>
      </c>
      <c r="Q40" s="222" t="e">
        <v>#VALUE!</v>
      </c>
    </row>
    <row r="41" spans="1:17" x14ac:dyDescent="0.2">
      <c r="A41" s="4" t="s">
        <v>60</v>
      </c>
      <c r="B41" s="13">
        <v>334651630.45999998</v>
      </c>
      <c r="C41" s="13">
        <v>317479720.76999998</v>
      </c>
      <c r="D41" s="13">
        <v>17171909.689999998</v>
      </c>
      <c r="E41" s="13">
        <v>7214383.0499999998</v>
      </c>
      <c r="F41" s="13">
        <v>7944686</v>
      </c>
      <c r="G41" s="14">
        <v>2.16</v>
      </c>
      <c r="H41" s="14">
        <v>0.91</v>
      </c>
      <c r="I41" s="13">
        <v>601198.58750000002</v>
      </c>
      <c r="J41" s="15">
        <v>7</v>
      </c>
      <c r="K41" s="13">
        <v>12963519.577499997</v>
      </c>
      <c r="L41" s="13" t="s">
        <v>42</v>
      </c>
      <c r="M41" s="13" t="s">
        <v>42</v>
      </c>
      <c r="N41" s="179">
        <v>43556</v>
      </c>
      <c r="O41" s="16">
        <v>45383</v>
      </c>
      <c r="P41" s="13">
        <v>1000229.49</v>
      </c>
      <c r="Q41" s="222" t="e">
        <v>#VALUE!</v>
      </c>
    </row>
    <row r="42" spans="1:17" x14ac:dyDescent="0.2">
      <c r="A42" s="4" t="s">
        <v>61</v>
      </c>
      <c r="B42" s="13">
        <v>1062416247.5</v>
      </c>
      <c r="C42" s="13">
        <v>1012664529.54</v>
      </c>
      <c r="D42" s="13">
        <v>49751717.960000038</v>
      </c>
      <c r="E42" s="13">
        <v>25159989.43</v>
      </c>
      <c r="F42" s="13">
        <v>23271036</v>
      </c>
      <c r="G42" s="14">
        <v>2.14</v>
      </c>
      <c r="H42" s="14">
        <v>1.08</v>
      </c>
      <c r="I42" s="13">
        <v>2096665.7858333334</v>
      </c>
      <c r="J42" s="15">
        <v>7</v>
      </c>
      <c r="K42" s="13">
        <v>35075057.459166706</v>
      </c>
      <c r="L42" s="13" t="s">
        <v>42</v>
      </c>
      <c r="M42" s="13" t="s">
        <v>42</v>
      </c>
      <c r="N42" s="179">
        <v>43556</v>
      </c>
      <c r="O42" s="16">
        <v>45383</v>
      </c>
      <c r="P42" s="13">
        <v>1614742.85</v>
      </c>
      <c r="Q42" s="222" t="e">
        <v>#VALUE!</v>
      </c>
    </row>
    <row r="43" spans="1:17" x14ac:dyDescent="0.2">
      <c r="A43" s="4" t="s">
        <v>57</v>
      </c>
      <c r="B43" s="13">
        <v>95802497</v>
      </c>
      <c r="C43" s="13">
        <v>89667552</v>
      </c>
      <c r="D43" s="13">
        <v>6134945</v>
      </c>
      <c r="E43" s="13">
        <v>5794529.0199999996</v>
      </c>
      <c r="F43" s="13">
        <v>2895399</v>
      </c>
      <c r="G43" s="14">
        <v>2.12</v>
      </c>
      <c r="H43" s="14">
        <v>2</v>
      </c>
      <c r="I43" s="13">
        <v>482877.41833333328</v>
      </c>
      <c r="J43" s="15">
        <v>0</v>
      </c>
      <c r="K43" s="13">
        <v>6134945</v>
      </c>
      <c r="L43" s="13" t="s">
        <v>20</v>
      </c>
      <c r="M43" s="13" t="s">
        <v>42</v>
      </c>
      <c r="N43" s="179">
        <v>43647</v>
      </c>
      <c r="O43" s="16">
        <v>45108</v>
      </c>
      <c r="P43" s="13">
        <v>641611.35</v>
      </c>
      <c r="Q43" s="222" t="e">
        <v>#VALUE!</v>
      </c>
    </row>
    <row r="44" spans="1:17" x14ac:dyDescent="0.2">
      <c r="A44" s="4" t="s">
        <v>62</v>
      </c>
      <c r="B44" s="13">
        <v>671425386.73000002</v>
      </c>
      <c r="C44" s="13">
        <v>642352917.15999997</v>
      </c>
      <c r="D44" s="13">
        <v>29072469.570000052</v>
      </c>
      <c r="E44" s="13">
        <v>12775521.029999999</v>
      </c>
      <c r="F44" s="13">
        <v>14136687</v>
      </c>
      <c r="G44" s="14">
        <v>2.06</v>
      </c>
      <c r="H44" s="14">
        <v>0.9</v>
      </c>
      <c r="I44" s="13">
        <v>1064626.7524999999</v>
      </c>
      <c r="J44" s="15">
        <v>7</v>
      </c>
      <c r="K44" s="13">
        <v>21620082.302500054</v>
      </c>
      <c r="L44" s="13" t="s">
        <v>42</v>
      </c>
      <c r="M44" s="13" t="s">
        <v>42</v>
      </c>
      <c r="N44" s="179">
        <v>43922</v>
      </c>
      <c r="O44" s="16">
        <v>45383</v>
      </c>
      <c r="P44" s="13">
        <v>1072405.69</v>
      </c>
      <c r="Q44" s="222" t="e">
        <v>#VALUE!</v>
      </c>
    </row>
    <row r="45" spans="1:17" x14ac:dyDescent="0.2">
      <c r="A45" s="4" t="s">
        <v>64</v>
      </c>
      <c r="B45" s="13">
        <v>336705739</v>
      </c>
      <c r="C45" s="13">
        <v>317833125.14999998</v>
      </c>
      <c r="D45" s="13">
        <v>18872613.850000024</v>
      </c>
      <c r="E45" s="13">
        <v>7754251.96</v>
      </c>
      <c r="F45" s="13">
        <v>9271277</v>
      </c>
      <c r="G45" s="14">
        <v>2.04</v>
      </c>
      <c r="H45" s="14">
        <v>0.84</v>
      </c>
      <c r="I45" s="13">
        <v>646187.66333333333</v>
      </c>
      <c r="J45" s="15">
        <v>4</v>
      </c>
      <c r="K45" s="13">
        <v>16287863.196666691</v>
      </c>
      <c r="L45" s="13" t="s">
        <v>42</v>
      </c>
      <c r="M45" s="13" t="s">
        <v>42</v>
      </c>
      <c r="N45" s="179">
        <v>43831</v>
      </c>
      <c r="O45" s="16">
        <v>45292</v>
      </c>
      <c r="P45" s="13">
        <v>159029.96</v>
      </c>
      <c r="Q45" s="222" t="e">
        <v>#VALUE!</v>
      </c>
    </row>
    <row r="46" spans="1:17" x14ac:dyDescent="0.2">
      <c r="A46" s="4" t="s">
        <v>63</v>
      </c>
      <c r="B46" s="13">
        <v>1279000022.5599999</v>
      </c>
      <c r="C46" s="13">
        <v>1218401459.24</v>
      </c>
      <c r="D46" s="13">
        <v>60598563.319999933</v>
      </c>
      <c r="E46" s="13">
        <v>26346187.699999999</v>
      </c>
      <c r="F46" s="13">
        <v>30789752</v>
      </c>
      <c r="G46" s="14">
        <v>1.97</v>
      </c>
      <c r="H46" s="14">
        <v>0.86</v>
      </c>
      <c r="I46" s="13">
        <v>2195515.6416666666</v>
      </c>
      <c r="J46" s="15">
        <v>0</v>
      </c>
      <c r="K46" s="13">
        <v>60598563.319999933</v>
      </c>
      <c r="L46" s="13" t="s">
        <v>42</v>
      </c>
      <c r="M46" s="13" t="s">
        <v>42</v>
      </c>
      <c r="N46" s="179">
        <v>43647</v>
      </c>
      <c r="O46" s="16">
        <v>45108</v>
      </c>
      <c r="P46" s="13">
        <v>3121718.34</v>
      </c>
      <c r="Q46" s="222" t="e">
        <v>#VALUE!</v>
      </c>
    </row>
    <row r="47" spans="1:17" x14ac:dyDescent="0.2">
      <c r="A47" s="4" t="s">
        <v>66</v>
      </c>
      <c r="B47" s="13">
        <v>1894934846.98</v>
      </c>
      <c r="C47" s="13">
        <v>1814222318.47</v>
      </c>
      <c r="D47" s="13">
        <v>80712528.50999999</v>
      </c>
      <c r="E47" s="13">
        <v>43063348.469999999</v>
      </c>
      <c r="F47" s="13">
        <v>45251402</v>
      </c>
      <c r="G47" s="14">
        <v>1.78</v>
      </c>
      <c r="H47" s="14">
        <v>0.95</v>
      </c>
      <c r="I47" s="13">
        <v>3588612.3725000001</v>
      </c>
      <c r="J47" s="15">
        <v>0</v>
      </c>
      <c r="K47" s="13">
        <v>80712528.50999999</v>
      </c>
      <c r="L47" s="13" t="s">
        <v>42</v>
      </c>
      <c r="M47" s="13" t="s">
        <v>42</v>
      </c>
      <c r="N47" s="179">
        <v>43647</v>
      </c>
      <c r="O47" s="16">
        <v>45108</v>
      </c>
      <c r="P47" s="13">
        <v>1490744.38</v>
      </c>
      <c r="Q47" s="222" t="e">
        <v>#VALUE!</v>
      </c>
    </row>
    <row r="48" spans="1:17" x14ac:dyDescent="0.2">
      <c r="A48" s="4" t="s">
        <v>65</v>
      </c>
      <c r="B48" s="13">
        <v>379033306</v>
      </c>
      <c r="C48" s="13">
        <v>362071512.62</v>
      </c>
      <c r="D48" s="13">
        <v>16961793.379999995</v>
      </c>
      <c r="E48" s="13">
        <v>8842199.5999999996</v>
      </c>
      <c r="F48" s="13">
        <v>9905563</v>
      </c>
      <c r="G48" s="14">
        <v>1.71</v>
      </c>
      <c r="H48" s="14">
        <v>0.89</v>
      </c>
      <c r="I48" s="13">
        <v>736849.96666666667</v>
      </c>
      <c r="J48" s="15">
        <v>0</v>
      </c>
      <c r="K48" s="13">
        <v>16961793.379999995</v>
      </c>
      <c r="L48" s="13" t="s">
        <v>42</v>
      </c>
      <c r="M48" s="13" t="s">
        <v>42</v>
      </c>
      <c r="N48" s="179">
        <v>43647</v>
      </c>
      <c r="O48" s="16">
        <v>45108</v>
      </c>
      <c r="P48" s="13">
        <v>1326187.53</v>
      </c>
      <c r="Q48" s="222" t="e">
        <v>#VALUE!</v>
      </c>
    </row>
    <row r="49" spans="1:17" x14ac:dyDescent="0.2">
      <c r="A49" s="4" t="s">
        <v>67</v>
      </c>
      <c r="B49" s="13">
        <v>1055772942</v>
      </c>
      <c r="C49" s="13">
        <v>1009633091.2</v>
      </c>
      <c r="D49" s="13">
        <v>46139850.799999952</v>
      </c>
      <c r="E49" s="13">
        <v>30388341.18</v>
      </c>
      <c r="F49" s="13">
        <v>27135328</v>
      </c>
      <c r="G49" s="14">
        <v>1.7</v>
      </c>
      <c r="H49" s="14">
        <v>1.1200000000000001</v>
      </c>
      <c r="I49" s="13">
        <v>2532361.7650000001</v>
      </c>
      <c r="J49" s="15">
        <v>7</v>
      </c>
      <c r="K49" s="13">
        <v>28413318.444999952</v>
      </c>
      <c r="L49" s="13" t="s">
        <v>42</v>
      </c>
      <c r="M49" s="13" t="s">
        <v>42</v>
      </c>
      <c r="N49" s="179">
        <v>43922</v>
      </c>
      <c r="O49" s="16">
        <v>45383</v>
      </c>
      <c r="P49" s="13">
        <v>2960659.37</v>
      </c>
      <c r="Q49" s="222" t="e">
        <v>#VALUE!</v>
      </c>
    </row>
    <row r="50" spans="1:17" x14ac:dyDescent="0.2">
      <c r="A50" s="4" t="s">
        <v>68</v>
      </c>
      <c r="B50" s="13">
        <v>485437344</v>
      </c>
      <c r="C50" s="13">
        <v>466949162.95999998</v>
      </c>
      <c r="D50" s="13">
        <v>18488181.040000021</v>
      </c>
      <c r="E50" s="13">
        <v>10802059.32</v>
      </c>
      <c r="F50" s="13">
        <v>11760505</v>
      </c>
      <c r="G50" s="14">
        <v>1.57</v>
      </c>
      <c r="H50" s="14">
        <v>0.92</v>
      </c>
      <c r="I50" s="13">
        <v>900171.61</v>
      </c>
      <c r="J50" s="15">
        <v>4</v>
      </c>
      <c r="K50" s="13">
        <v>14887494.600000022</v>
      </c>
      <c r="L50" s="13" t="s">
        <v>42</v>
      </c>
      <c r="M50" s="13" t="s">
        <v>42</v>
      </c>
      <c r="N50" s="179">
        <v>43831</v>
      </c>
      <c r="O50" s="16">
        <v>45292</v>
      </c>
      <c r="P50" s="13">
        <v>794273.84</v>
      </c>
      <c r="Q50" s="222" t="e">
        <v>#VALUE!</v>
      </c>
    </row>
    <row r="51" spans="1:17" x14ac:dyDescent="0.2">
      <c r="A51" s="4" t="s">
        <v>69</v>
      </c>
      <c r="B51" s="13">
        <v>232702025</v>
      </c>
      <c r="C51" s="13">
        <v>225508324.91999999</v>
      </c>
      <c r="D51" s="13">
        <v>7193700.0800000131</v>
      </c>
      <c r="E51" s="13">
        <v>6238533.79</v>
      </c>
      <c r="F51" s="13">
        <v>6807147</v>
      </c>
      <c r="G51" s="14">
        <v>1.06</v>
      </c>
      <c r="H51" s="14">
        <v>0.92</v>
      </c>
      <c r="I51" s="13">
        <v>519877.81583333336</v>
      </c>
      <c r="J51" s="15">
        <v>0</v>
      </c>
      <c r="K51" s="13">
        <v>7193700.0800000131</v>
      </c>
      <c r="L51" s="13" t="s">
        <v>42</v>
      </c>
      <c r="M51" s="13" t="s">
        <v>42</v>
      </c>
      <c r="N51" s="179">
        <v>43647</v>
      </c>
      <c r="O51" s="16">
        <v>45108</v>
      </c>
      <c r="P51" s="13">
        <v>558642.64</v>
      </c>
      <c r="Q51" s="222" t="e">
        <v>#VALUE!</v>
      </c>
    </row>
    <row r="52" spans="1:17" x14ac:dyDescent="0.2">
      <c r="A52" s="4" t="s">
        <v>70</v>
      </c>
      <c r="B52" s="13">
        <v>72717998</v>
      </c>
      <c r="C52" s="13">
        <v>70505835.120000005</v>
      </c>
      <c r="D52" s="18">
        <v>2212162.8799999952</v>
      </c>
      <c r="E52" s="13">
        <v>2382964.85</v>
      </c>
      <c r="F52" s="13">
        <v>2684959</v>
      </c>
      <c r="G52" s="14">
        <v>0.82</v>
      </c>
      <c r="H52" s="14">
        <v>0.89</v>
      </c>
      <c r="I52" s="18">
        <v>198580.40416666667</v>
      </c>
      <c r="J52" s="15">
        <v>0</v>
      </c>
      <c r="K52" s="18">
        <v>2212162.8799999952</v>
      </c>
      <c r="L52" s="18" t="s">
        <v>42</v>
      </c>
      <c r="M52" s="18" t="s">
        <v>42</v>
      </c>
      <c r="N52" s="180">
        <v>43647</v>
      </c>
      <c r="O52" s="16">
        <v>45108</v>
      </c>
      <c r="P52" s="13">
        <v>53748.67</v>
      </c>
      <c r="Q52" s="222" t="e">
        <v>#VALUE!</v>
      </c>
    </row>
    <row r="53" spans="1:17" x14ac:dyDescent="0.25">
      <c r="A53" s="34" t="s">
        <v>71</v>
      </c>
      <c r="B53" s="31">
        <v>42063217302.959999</v>
      </c>
      <c r="C53" s="13">
        <v>39118885589.040001</v>
      </c>
      <c r="D53" s="31">
        <v>2944331713.9199982</v>
      </c>
      <c r="E53" s="13">
        <v>902107939.73000002</v>
      </c>
      <c r="F53" s="13">
        <v>987593470.95000005</v>
      </c>
      <c r="G53" s="14">
        <v>2.98</v>
      </c>
      <c r="H53" s="14">
        <v>0.91</v>
      </c>
      <c r="I53" s="31">
        <v>75175661.644166663</v>
      </c>
      <c r="J53" s="32"/>
      <c r="K53" s="33"/>
      <c r="L53" s="33"/>
      <c r="M53" s="33"/>
      <c r="N53" s="33"/>
      <c r="O53" s="33"/>
      <c r="P53" s="31">
        <v>89244151.49000001</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29</v>
      </c>
      <c r="H56" s="25"/>
    </row>
    <row r="57" spans="1:17" ht="27" customHeight="1" thickBot="1" x14ac:dyDescent="0.3">
      <c r="D57" s="228" t="s">
        <v>73</v>
      </c>
      <c r="E57" s="229"/>
      <c r="F57" s="229"/>
      <c r="G57" s="27"/>
      <c r="H57" s="28">
        <v>38</v>
      </c>
    </row>
  </sheetData>
  <mergeCells count="2">
    <mergeCell ref="D56:F56"/>
    <mergeCell ref="D57:F57"/>
  </mergeCells>
  <conditionalFormatting sqref="G54">
    <cfRule type="cellIs" dxfId="391" priority="13" stopIfTrue="1" operator="greaterThan">
      <formula>2.5</formula>
    </cfRule>
    <cfRule type="cellIs" dxfId="390" priority="14" stopIfTrue="1" operator="between">
      <formula>2.01</formula>
      <formula>2.5</formula>
    </cfRule>
  </conditionalFormatting>
  <conditionalFormatting sqref="H3:H53">
    <cfRule type="cellIs" dxfId="389" priority="12" stopIfTrue="1" operator="lessThan">
      <formula>1</formula>
    </cfRule>
  </conditionalFormatting>
  <conditionalFormatting sqref="G3:G53">
    <cfRule type="cellIs" dxfId="388" priority="10" stopIfTrue="1" operator="greaterThan">
      <formula>2.5</formula>
    </cfRule>
    <cfRule type="cellIs" dxfId="387" priority="11" stopIfTrue="1" operator="between">
      <formula>2.01</formula>
      <formula>2.5</formula>
    </cfRule>
  </conditionalFormatting>
  <conditionalFormatting sqref="K3:K52">
    <cfRule type="cellIs" dxfId="386" priority="8" stopIfTrue="1" operator="greaterThan">
      <formula>$F3*2.5</formula>
    </cfRule>
    <cfRule type="cellIs" dxfId="385" priority="9" stopIfTrue="1" operator="between">
      <formula>$F3*2</formula>
      <formula>$F3*2.5</formula>
    </cfRule>
  </conditionalFormatting>
  <conditionalFormatting sqref="G54">
    <cfRule type="cellIs" dxfId="384" priority="6" stopIfTrue="1" operator="greaterThan">
      <formula>2.5</formula>
    </cfRule>
    <cfRule type="cellIs" dxfId="383" priority="7" stopIfTrue="1" operator="between">
      <formula>2.01</formula>
      <formula>2.5</formula>
    </cfRule>
  </conditionalFormatting>
  <conditionalFormatting sqref="H3:H53">
    <cfRule type="cellIs" dxfId="382" priority="5" stopIfTrue="1" operator="lessThan">
      <formula>1</formula>
    </cfRule>
  </conditionalFormatting>
  <conditionalFormatting sqref="G3:G53">
    <cfRule type="cellIs" dxfId="381" priority="3" stopIfTrue="1" operator="greaterThan">
      <formula>2.5</formula>
    </cfRule>
    <cfRule type="cellIs" dxfId="380" priority="4" stopIfTrue="1" operator="between">
      <formula>2.01</formula>
      <formula>2.5</formula>
    </cfRule>
  </conditionalFormatting>
  <conditionalFormatting sqref="K3:K52">
    <cfRule type="cellIs" dxfId="379" priority="1" stopIfTrue="1" operator="greaterThan">
      <formula>$F3*2.5</formula>
    </cfRule>
    <cfRule type="cellIs" dxfId="378"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512DD-34DE-47B3-B0AF-EC9695C47A18}">
  <sheetPr>
    <tabColor theme="7" tint="0.39997558519241921"/>
  </sheetPr>
  <dimension ref="A1:C19"/>
  <sheetViews>
    <sheetView showGridLines="0" workbookViewId="0">
      <selection activeCell="Q12" sqref="Q12"/>
    </sheetView>
  </sheetViews>
  <sheetFormatPr defaultRowHeight="12.5" x14ac:dyDescent="0.25"/>
  <cols>
    <col min="1" max="1" width="8" style="219" customWidth="1"/>
    <col min="2" max="2" width="13.54296875" customWidth="1"/>
    <col min="3" max="3" width="36.1796875" customWidth="1"/>
  </cols>
  <sheetData>
    <row r="1" spans="1:3" ht="18.5" x14ac:dyDescent="0.45">
      <c r="A1" s="220" t="s">
        <v>213</v>
      </c>
      <c r="B1" s="209"/>
      <c r="C1" s="209"/>
    </row>
    <row r="2" spans="1:3" ht="14.5" x14ac:dyDescent="0.35">
      <c r="A2" s="216" t="s">
        <v>214</v>
      </c>
      <c r="B2" s="210" t="s">
        <v>215</v>
      </c>
      <c r="C2" s="210" t="s">
        <v>216</v>
      </c>
    </row>
    <row r="3" spans="1:3" ht="58.5" customHeight="1" x14ac:dyDescent="0.25">
      <c r="A3" s="217" t="s">
        <v>217</v>
      </c>
      <c r="B3" s="211" t="s">
        <v>2</v>
      </c>
      <c r="C3" s="212" t="s">
        <v>218</v>
      </c>
    </row>
    <row r="4" spans="1:3" ht="58.5" customHeight="1" x14ac:dyDescent="0.25">
      <c r="A4" s="218" t="s">
        <v>219</v>
      </c>
      <c r="B4" s="213" t="s">
        <v>220</v>
      </c>
      <c r="C4" s="214" t="s">
        <v>221</v>
      </c>
    </row>
    <row r="5" spans="1:3" ht="58.5" customHeight="1" x14ac:dyDescent="0.25">
      <c r="A5" s="218" t="s">
        <v>222</v>
      </c>
      <c r="B5" s="213" t="s">
        <v>223</v>
      </c>
      <c r="C5" s="214" t="s">
        <v>224</v>
      </c>
    </row>
    <row r="6" spans="1:3" ht="58.5" customHeight="1" x14ac:dyDescent="0.25">
      <c r="A6" s="218" t="s">
        <v>225</v>
      </c>
      <c r="B6" s="213" t="s">
        <v>5</v>
      </c>
      <c r="C6" s="215" t="s">
        <v>226</v>
      </c>
    </row>
    <row r="7" spans="1:3" ht="58.5" customHeight="1" x14ac:dyDescent="0.25">
      <c r="A7" s="218" t="s">
        <v>227</v>
      </c>
      <c r="B7" s="213" t="s">
        <v>6</v>
      </c>
      <c r="C7" s="214" t="s">
        <v>228</v>
      </c>
    </row>
    <row r="8" spans="1:3" ht="58.5" customHeight="1" x14ac:dyDescent="0.25">
      <c r="A8" s="218" t="s">
        <v>229</v>
      </c>
      <c r="B8" s="213" t="s">
        <v>7</v>
      </c>
      <c r="C8" s="214" t="s">
        <v>230</v>
      </c>
    </row>
    <row r="9" spans="1:3" ht="58.5" customHeight="1" x14ac:dyDescent="0.25">
      <c r="A9" s="218" t="s">
        <v>231</v>
      </c>
      <c r="B9" s="213" t="s">
        <v>8</v>
      </c>
      <c r="C9" s="215" t="s">
        <v>232</v>
      </c>
    </row>
    <row r="10" spans="1:3" ht="58.5" customHeight="1" x14ac:dyDescent="0.25">
      <c r="A10" s="218" t="s">
        <v>233</v>
      </c>
      <c r="B10" s="213" t="s">
        <v>9</v>
      </c>
      <c r="C10" s="215" t="s">
        <v>234</v>
      </c>
    </row>
    <row r="11" spans="1:3" ht="58.5" customHeight="1" x14ac:dyDescent="0.25">
      <c r="A11" s="218" t="s">
        <v>235</v>
      </c>
      <c r="B11" s="213" t="s">
        <v>236</v>
      </c>
      <c r="C11" s="215" t="s">
        <v>237</v>
      </c>
    </row>
    <row r="12" spans="1:3" ht="58.5" customHeight="1" x14ac:dyDescent="0.25">
      <c r="A12" s="218" t="s">
        <v>238</v>
      </c>
      <c r="B12" s="213" t="s">
        <v>239</v>
      </c>
      <c r="C12" s="214" t="s">
        <v>240</v>
      </c>
    </row>
    <row r="13" spans="1:3" ht="58.5" customHeight="1" x14ac:dyDescent="0.25">
      <c r="A13" s="218" t="s">
        <v>241</v>
      </c>
      <c r="B13" s="213" t="s">
        <v>12</v>
      </c>
      <c r="C13" s="215" t="s">
        <v>242</v>
      </c>
    </row>
    <row r="14" spans="1:3" ht="58.5" customHeight="1" x14ac:dyDescent="0.25">
      <c r="A14" s="218" t="s">
        <v>243</v>
      </c>
      <c r="B14" s="213" t="s">
        <v>244</v>
      </c>
      <c r="C14" s="214" t="s">
        <v>245</v>
      </c>
    </row>
    <row r="15" spans="1:3" ht="58.5" customHeight="1" x14ac:dyDescent="0.25">
      <c r="A15" s="218" t="s">
        <v>246</v>
      </c>
      <c r="B15" s="213" t="s">
        <v>247</v>
      </c>
      <c r="C15" s="214" t="s">
        <v>248</v>
      </c>
    </row>
    <row r="16" spans="1:3" ht="58.5" customHeight="1" x14ac:dyDescent="0.25">
      <c r="A16" s="218" t="s">
        <v>249</v>
      </c>
      <c r="B16" s="213" t="s">
        <v>250</v>
      </c>
      <c r="C16" s="214" t="s">
        <v>251</v>
      </c>
    </row>
    <row r="17" spans="1:3" ht="58.5" customHeight="1" x14ac:dyDescent="0.25">
      <c r="A17" s="218" t="s">
        <v>252</v>
      </c>
      <c r="B17" s="213" t="s">
        <v>16</v>
      </c>
      <c r="C17" s="214" t="s">
        <v>253</v>
      </c>
    </row>
    <row r="18" spans="1:3" ht="58.5" customHeight="1" x14ac:dyDescent="0.25">
      <c r="A18" s="218" t="s">
        <v>254</v>
      </c>
      <c r="B18" s="213" t="s">
        <v>255</v>
      </c>
      <c r="C18" s="215" t="s">
        <v>256</v>
      </c>
    </row>
    <row r="19" spans="1:3" ht="58.5" customHeight="1" x14ac:dyDescent="0.25">
      <c r="A19" s="218" t="s">
        <v>257</v>
      </c>
      <c r="B19" s="213" t="s">
        <v>18</v>
      </c>
      <c r="C19" s="215" t="s">
        <v>258</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97487-3BB8-427E-99D8-A1C8D821F69A}">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U38" sqref="U38"/>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customWidth="1"/>
    <col min="17" max="17" width="16.54296875" style="17" customWidth="1"/>
    <col min="18" max="16384" width="9.1796875" style="17"/>
  </cols>
  <sheetData>
    <row r="1" spans="1:17" s="8" customFormat="1" ht="18" x14ac:dyDescent="0.25">
      <c r="A1" s="4" t="str">
        <f>"Run Date: "&amp;'LOCCS Import'!C1&amp;"                                            As of: "&amp;'LOCCS Import'!C3</f>
        <v>Run Date: 04/30/2026                                            As of: 04/30/2026</v>
      </c>
      <c r="B1" s="178" t="str">
        <f>'LOCCS Import'!C3</f>
        <v>04/30/2026</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61</v>
      </c>
      <c r="B3" s="13">
        <f>VLOOKUP(A3,'LOCCS Import'!A$19:N$200,2,)</f>
        <v>1108314599.5</v>
      </c>
      <c r="C3" s="13">
        <f>VLOOKUP(A3,'LOCCS Import'!A$19:N$200,3,)</f>
        <v>1051787730.76</v>
      </c>
      <c r="D3" s="13">
        <f t="shared" ref="D3:D34" si="0">B3-C3</f>
        <v>56526868.74000001</v>
      </c>
      <c r="E3" s="13">
        <f>VLOOKUP(A3,'LOCCS Import'!A$19:N$200,4,)</f>
        <v>19663777.59</v>
      </c>
      <c r="F3" s="13">
        <f>VLOOKUP(A3,'LOCCS Import'!A$19:N$200,5,)</f>
        <v>23039495</v>
      </c>
      <c r="G3" s="14">
        <f>VLOOKUP(A3,'LOCCS Import'!A$19:N$200,6,)</f>
        <v>2.4500000000000002</v>
      </c>
      <c r="H3" s="14">
        <f>VLOOKUP(A3,'LOCCS Import'!A$19:N$200,7,)</f>
        <v>0.85</v>
      </c>
      <c r="I3" s="13">
        <f t="shared" ref="I3:I34" si="1">E3/12</f>
        <v>1638648.1325000001</v>
      </c>
      <c r="J3" s="15">
        <f t="shared" ref="J3:J34" si="2">IF(((MONTH(O3))&lt;=(MONTH($B$1))),((MONTH(O3)-3)+12-(MONTH($B$1))),IF(((MONTH(O3)-3)-(MONTH($B$1)))&gt;0,(MONTH(O3)-3)-(MONTH($B$1)),0))</f>
        <v>9</v>
      </c>
      <c r="K3" s="13">
        <f t="shared" ref="K3:K34" si="3">IF(J3&lt;0,"NA",D3-(J3*I3))</f>
        <v>41779035.547500007</v>
      </c>
      <c r="L3" s="13" t="str">
        <f t="shared" ref="L3:L34" si="4">IF(K3&lt;F3*2,"on track",IF(J3&lt;1,"NA",(D3-F3*2)/J3))</f>
        <v>on track</v>
      </c>
      <c r="M3" s="13" t="str">
        <f t="shared" ref="M3:M34" si="5">IF(K3&lt;F3*2.5,"on track",IF(J3&lt;1,"NA",(D3-F3*2.5)/J3))</f>
        <v>on track</v>
      </c>
      <c r="N3" s="179">
        <v>43556</v>
      </c>
      <c r="O3" s="16">
        <f t="shared" ref="O3:O34" si="6">DATE(IF(MONTH($B$1)&lt;MONTH(N3),YEAR($B$1)-1,YEAR($B$1)),MONTH(N3),1)</f>
        <v>46113</v>
      </c>
      <c r="P3" s="13">
        <f ca="1">ROUND(C3-(VLOOKUP(A3,INDIRECT('LOCCS Import'!$E$3&amp;"$A$3"):INDIRECT('LOCCS Import'!$E$3&amp;"$O$54"),3,)),2)</f>
        <v>1628489.15</v>
      </c>
      <c r="Q3" s="223" t="e">
        <f>#VALUE!</f>
        <v>#VALUE!</v>
      </c>
    </row>
    <row r="4" spans="1:17" x14ac:dyDescent="0.2">
      <c r="A4" s="4" t="s">
        <v>47</v>
      </c>
      <c r="B4" s="13">
        <f>VLOOKUP(A4,'LOCCS Import'!A$19:N$200,2,)</f>
        <v>107063879</v>
      </c>
      <c r="C4" s="13">
        <f>VLOOKUP(A4,'LOCCS Import'!A$19:N$200,3,)</f>
        <v>97261620.599999994</v>
      </c>
      <c r="D4" s="13">
        <f t="shared" si="0"/>
        <v>9802258.400000006</v>
      </c>
      <c r="E4" s="13">
        <f>VLOOKUP(A4,'LOCCS Import'!A$19:N$200,4,)</f>
        <v>1909227.54</v>
      </c>
      <c r="F4" s="13">
        <f>VLOOKUP(A4,'LOCCS Import'!A$19:N$200,5,)</f>
        <v>2669761</v>
      </c>
      <c r="G4" s="14">
        <f>VLOOKUP(A4,'LOCCS Import'!A$19:N$200,6,)</f>
        <v>3.67</v>
      </c>
      <c r="H4" s="14">
        <f>VLOOKUP(A4,'LOCCS Import'!A$19:N$200,7,)</f>
        <v>0.72</v>
      </c>
      <c r="I4" s="13">
        <f t="shared" si="1"/>
        <v>159102.29500000001</v>
      </c>
      <c r="J4" s="15">
        <f t="shared" si="2"/>
        <v>0</v>
      </c>
      <c r="K4" s="13">
        <f t="shared" si="3"/>
        <v>9802258.400000006</v>
      </c>
      <c r="L4" s="13" t="str">
        <f t="shared" si="4"/>
        <v>NA</v>
      </c>
      <c r="M4" s="13" t="str">
        <f t="shared" si="5"/>
        <v>NA</v>
      </c>
      <c r="N4" s="179">
        <v>43647</v>
      </c>
      <c r="O4" s="16">
        <f t="shared" si="6"/>
        <v>45839</v>
      </c>
      <c r="P4" s="13">
        <f ca="1">ROUND(C4-(VLOOKUP(A4,INDIRECT('LOCCS Import'!$E$3&amp;"$A$3"):INDIRECT('LOCCS Import'!$E$3&amp;"$O$54"),3,)),2)</f>
        <v>29185.94</v>
      </c>
      <c r="Q4" s="222" t="e">
        <f>#VALUE!</f>
        <v>#VALUE!</v>
      </c>
    </row>
    <row r="5" spans="1:17" x14ac:dyDescent="0.2">
      <c r="A5" s="4" t="s">
        <v>65</v>
      </c>
      <c r="B5" s="13">
        <f>VLOOKUP(A5,'LOCCS Import'!A$19:N$200,2,)</f>
        <v>398824318</v>
      </c>
      <c r="C5" s="13">
        <f>VLOOKUP(A5,'LOCCS Import'!A$19:N$200,3,)</f>
        <v>382168474.32999998</v>
      </c>
      <c r="D5" s="13">
        <f t="shared" si="0"/>
        <v>16655843.670000017</v>
      </c>
      <c r="E5" s="13">
        <f>VLOOKUP(A5,'LOCCS Import'!A$19:N$200,4,)</f>
        <v>10894045.449999999</v>
      </c>
      <c r="F5" s="13">
        <f>VLOOKUP(A5,'LOCCS Import'!A$19:N$200,5,)</f>
        <v>9664284</v>
      </c>
      <c r="G5" s="14">
        <f>VLOOKUP(A5,'LOCCS Import'!A$19:N$200,6,)</f>
        <v>1.72</v>
      </c>
      <c r="H5" s="14">
        <f>VLOOKUP(A5,'LOCCS Import'!A$19:N$200,7,)</f>
        <v>1.1299999999999999</v>
      </c>
      <c r="I5" s="13">
        <f t="shared" si="1"/>
        <v>907837.12083333323</v>
      </c>
      <c r="J5" s="15">
        <f t="shared" si="2"/>
        <v>0</v>
      </c>
      <c r="K5" s="13">
        <f t="shared" si="3"/>
        <v>16655843.670000017</v>
      </c>
      <c r="L5" s="13" t="str">
        <f t="shared" si="4"/>
        <v>on track</v>
      </c>
      <c r="M5" s="13" t="str">
        <f t="shared" si="5"/>
        <v>on track</v>
      </c>
      <c r="N5" s="179">
        <v>43647</v>
      </c>
      <c r="O5" s="16">
        <f t="shared" si="6"/>
        <v>45839</v>
      </c>
      <c r="P5" s="13">
        <f ca="1">ROUND(C5-(VLOOKUP(A5,INDIRECT('LOCCS Import'!$E$3&amp;"$A$3"):INDIRECT('LOCCS Import'!$E$3&amp;"$O$54"),3,)),2)</f>
        <v>863184.22</v>
      </c>
      <c r="Q5" s="222" t="e">
        <f>#VALUE!</f>
        <v>#VALUE!</v>
      </c>
    </row>
    <row r="6" spans="1:17" x14ac:dyDescent="0.2">
      <c r="A6" s="4" t="s">
        <v>29</v>
      </c>
      <c r="B6" s="13">
        <f>VLOOKUP(A6,'LOCCS Import'!A$19:N$200,2,)</f>
        <v>817050825.05999994</v>
      </c>
      <c r="C6" s="13">
        <f>VLOOKUP(A6,'LOCCS Import'!A$19:N$200,3,)</f>
        <v>764329888.75999999</v>
      </c>
      <c r="D6" s="13">
        <f t="shared" si="0"/>
        <v>52720936.299999952</v>
      </c>
      <c r="E6" s="13">
        <f>VLOOKUP(A6,'LOCCS Import'!A$19:N$200,4,)</f>
        <v>26807112.43</v>
      </c>
      <c r="F6" s="13">
        <f>VLOOKUP(A6,'LOCCS Import'!A$19:N$200,5,)</f>
        <v>17644408</v>
      </c>
      <c r="G6" s="14">
        <f>VLOOKUP(A6,'LOCCS Import'!A$19:N$200,6,)</f>
        <v>2.99</v>
      </c>
      <c r="H6" s="14">
        <f>VLOOKUP(A6,'LOCCS Import'!A$19:N$200,7,)</f>
        <v>1.52</v>
      </c>
      <c r="I6" s="13">
        <f t="shared" si="1"/>
        <v>2233926.0358333332</v>
      </c>
      <c r="J6" s="15">
        <f t="shared" si="2"/>
        <v>0</v>
      </c>
      <c r="K6" s="13">
        <f t="shared" si="3"/>
        <v>52720936.299999952</v>
      </c>
      <c r="L6" s="13" t="str">
        <f t="shared" si="4"/>
        <v>NA</v>
      </c>
      <c r="M6" s="13" t="str">
        <f t="shared" si="5"/>
        <v>NA</v>
      </c>
      <c r="N6" s="179">
        <v>43647</v>
      </c>
      <c r="O6" s="16">
        <f t="shared" si="6"/>
        <v>45839</v>
      </c>
      <c r="P6" s="13">
        <f ca="1">ROUND(C6-(VLOOKUP(A6,INDIRECT('LOCCS Import'!$E$3&amp;"$A$3"):INDIRECT('LOCCS Import'!$E$3&amp;"$O$54"),3,)),2)</f>
        <v>1550527.1</v>
      </c>
      <c r="Q6" s="222" t="e">
        <f>#VALUE!</f>
        <v>#VALUE!</v>
      </c>
    </row>
    <row r="7" spans="1:17" x14ac:dyDescent="0.2">
      <c r="A7" s="4" t="s">
        <v>34</v>
      </c>
      <c r="B7" s="13">
        <f>VLOOKUP(A7,'LOCCS Import'!A$19:N$200,2,)</f>
        <v>1468177330.9100001</v>
      </c>
      <c r="C7" s="13">
        <f>VLOOKUP(A7,'LOCCS Import'!A$19:N$200,3,)</f>
        <v>1374672057.6900001</v>
      </c>
      <c r="D7" s="13">
        <f t="shared" si="0"/>
        <v>93505273.220000029</v>
      </c>
      <c r="E7" s="13">
        <f>VLOOKUP(A7,'LOCCS Import'!A$19:N$200,4,)</f>
        <v>47717441.640000001</v>
      </c>
      <c r="F7" s="13">
        <f>VLOOKUP(A7,'LOCCS Import'!A$19:N$200,5,)</f>
        <v>29748591</v>
      </c>
      <c r="G7" s="14">
        <f>VLOOKUP(A7,'LOCCS Import'!A$19:N$200,6,)</f>
        <v>3.14</v>
      </c>
      <c r="H7" s="14">
        <f>VLOOKUP(A7,'LOCCS Import'!A$19:N$200,7,)</f>
        <v>1.6</v>
      </c>
      <c r="I7" s="13">
        <f t="shared" si="1"/>
        <v>3976453.47</v>
      </c>
      <c r="J7" s="15">
        <f t="shared" si="2"/>
        <v>0</v>
      </c>
      <c r="K7" s="13">
        <f t="shared" si="3"/>
        <v>93505273.220000029</v>
      </c>
      <c r="L7" s="13" t="str">
        <f t="shared" si="4"/>
        <v>NA</v>
      </c>
      <c r="M7" s="13" t="str">
        <f t="shared" si="5"/>
        <v>NA</v>
      </c>
      <c r="N7" s="179">
        <v>43647</v>
      </c>
      <c r="O7" s="16">
        <f t="shared" si="6"/>
        <v>45839</v>
      </c>
      <c r="P7" s="13">
        <f ca="1">ROUND(C7-(VLOOKUP(A7,INDIRECT('LOCCS Import'!$E$3&amp;"$A$3"):INDIRECT('LOCCS Import'!$E$3&amp;"$O$54"),3,)),2)</f>
        <v>4523263.79</v>
      </c>
      <c r="Q7" s="222" t="e">
        <f>#VALUE!</f>
        <v>#VALUE!</v>
      </c>
    </row>
    <row r="8" spans="1:17" x14ac:dyDescent="0.2">
      <c r="A8" s="4" t="s">
        <v>36</v>
      </c>
      <c r="B8" s="13">
        <f>VLOOKUP(A8,'LOCCS Import'!A$19:N$200,2,)</f>
        <v>402118853.93000001</v>
      </c>
      <c r="C8" s="13">
        <f>VLOOKUP(A8,'LOCCS Import'!A$19:N$200,3,)</f>
        <v>369451794.64999998</v>
      </c>
      <c r="D8" s="13">
        <f t="shared" si="0"/>
        <v>32667059.280000031</v>
      </c>
      <c r="E8" s="13">
        <f>VLOOKUP(A8,'LOCCS Import'!A$19:N$200,4,)</f>
        <v>6639968.3099999996</v>
      </c>
      <c r="F8" s="13">
        <f>VLOOKUP(A8,'LOCCS Import'!A$19:N$200,5,)</f>
        <v>9522686</v>
      </c>
      <c r="G8" s="14">
        <f>VLOOKUP(A8,'LOCCS Import'!A$19:N$200,6,)</f>
        <v>3.43</v>
      </c>
      <c r="H8" s="14">
        <f>VLOOKUP(A8,'LOCCS Import'!A$19:N$200,7,)</f>
        <v>0.7</v>
      </c>
      <c r="I8" s="13">
        <f t="shared" si="1"/>
        <v>553330.6925</v>
      </c>
      <c r="J8" s="15">
        <f t="shared" si="2"/>
        <v>9</v>
      </c>
      <c r="K8" s="13">
        <f t="shared" si="3"/>
        <v>27687083.047500029</v>
      </c>
      <c r="L8" s="13">
        <f t="shared" si="4"/>
        <v>1513520.8088888924</v>
      </c>
      <c r="M8" s="13">
        <f t="shared" si="5"/>
        <v>984482.69777778117</v>
      </c>
      <c r="N8" s="179">
        <v>43556</v>
      </c>
      <c r="O8" s="16">
        <f t="shared" si="6"/>
        <v>46113</v>
      </c>
      <c r="P8" s="13">
        <f ca="1">ROUND(C8-(VLOOKUP(A8,INDIRECT('LOCCS Import'!$E$3&amp;"$A$3"):INDIRECT('LOCCS Import'!$E$3&amp;"$O$54"),3,)),2)</f>
        <v>205701.71</v>
      </c>
      <c r="Q8" s="222" t="e">
        <f>#VALUE!</f>
        <v>#VALUE!</v>
      </c>
    </row>
    <row r="9" spans="1:17" x14ac:dyDescent="0.2">
      <c r="A9" s="4" t="s">
        <v>38</v>
      </c>
      <c r="B9" s="13">
        <f>VLOOKUP(A9,'LOCCS Import'!A$19:N$200,2,)</f>
        <v>542289730.02999997</v>
      </c>
      <c r="C9" s="13">
        <f>VLOOKUP(A9,'LOCCS Import'!A$19:N$200,3,)</f>
        <v>502461623.97000003</v>
      </c>
      <c r="D9" s="13">
        <f t="shared" si="0"/>
        <v>39828106.059999943</v>
      </c>
      <c r="E9" s="13">
        <f>VLOOKUP(A9,'LOCCS Import'!A$19:N$200,4,)</f>
        <v>12280759.24</v>
      </c>
      <c r="F9" s="13">
        <f>VLOOKUP(A9,'LOCCS Import'!A$19:N$200,5,)</f>
        <v>13960891</v>
      </c>
      <c r="G9" s="14">
        <f>VLOOKUP(A9,'LOCCS Import'!A$19:N$200,6,)</f>
        <v>2.85</v>
      </c>
      <c r="H9" s="14">
        <f>VLOOKUP(A9,'LOCCS Import'!A$19:N$200,7,)</f>
        <v>0.88</v>
      </c>
      <c r="I9" s="13">
        <f t="shared" si="1"/>
        <v>1023396.6033333334</v>
      </c>
      <c r="J9" s="15">
        <f t="shared" si="2"/>
        <v>0</v>
      </c>
      <c r="K9" s="13">
        <f t="shared" si="3"/>
        <v>39828106.059999943</v>
      </c>
      <c r="L9" s="13" t="str">
        <f t="shared" si="4"/>
        <v>NA</v>
      </c>
      <c r="M9" s="13" t="str">
        <f t="shared" si="5"/>
        <v>NA</v>
      </c>
      <c r="N9" s="179">
        <v>43647</v>
      </c>
      <c r="O9" s="16">
        <f t="shared" si="6"/>
        <v>45839</v>
      </c>
      <c r="P9" s="13">
        <f ca="1">ROUND(C9-(VLOOKUP(A9,INDIRECT('LOCCS Import'!$E$3&amp;"$A$3"):INDIRECT('LOCCS Import'!$E$3&amp;"$O$54"),3,)),2)</f>
        <v>4512735.43</v>
      </c>
      <c r="Q9" s="222" t="e">
        <f>#VALUE!</f>
        <v>#VALUE!</v>
      </c>
    </row>
    <row r="10" spans="1:17" x14ac:dyDescent="0.2">
      <c r="A10" s="4" t="s">
        <v>70</v>
      </c>
      <c r="B10" s="13">
        <f>VLOOKUP(A10,'LOCCS Import'!A$19:N$200,2,)</f>
        <v>78247436</v>
      </c>
      <c r="C10" s="13">
        <f>VLOOKUP(A10,'LOCCS Import'!A$19:N$200,3,)</f>
        <v>74540708.090000004</v>
      </c>
      <c r="D10" s="13">
        <f t="shared" si="0"/>
        <v>3706727.9099999964</v>
      </c>
      <c r="E10" s="13">
        <f>VLOOKUP(A10,'LOCCS Import'!A$19:N$200,4,)</f>
        <v>2663576.81</v>
      </c>
      <c r="F10" s="13">
        <f>VLOOKUP(A10,'LOCCS Import'!A$19:N$200,5,)</f>
        <v>2776815</v>
      </c>
      <c r="G10" s="14">
        <f>VLOOKUP(A10,'LOCCS Import'!A$19:N$200,6,)</f>
        <v>1.33</v>
      </c>
      <c r="H10" s="14">
        <f>VLOOKUP(A10,'LOCCS Import'!A$19:N$200,7,)</f>
        <v>0.96</v>
      </c>
      <c r="I10" s="13">
        <f t="shared" si="1"/>
        <v>221964.73416666666</v>
      </c>
      <c r="J10" s="15">
        <f t="shared" si="2"/>
        <v>0</v>
      </c>
      <c r="K10" s="13">
        <f t="shared" si="3"/>
        <v>3706727.9099999964</v>
      </c>
      <c r="L10" s="13" t="str">
        <f t="shared" si="4"/>
        <v>on track</v>
      </c>
      <c r="M10" s="13" t="str">
        <f t="shared" si="5"/>
        <v>on track</v>
      </c>
      <c r="N10" s="179">
        <v>43647</v>
      </c>
      <c r="O10" s="16">
        <f t="shared" si="6"/>
        <v>45839</v>
      </c>
      <c r="P10" s="13">
        <f ca="1">ROUND(C10-(VLOOKUP(A10,INDIRECT('LOCCS Import'!$E$3&amp;"$A$3"):INDIRECT('LOCCS Import'!$E$3&amp;"$O$54"),3,)),2)</f>
        <v>29610.11</v>
      </c>
      <c r="Q10" s="222" t="e">
        <f>#VALUE!</f>
        <v>#VALUE!</v>
      </c>
    </row>
    <row r="11" spans="1:17" x14ac:dyDescent="0.2">
      <c r="A11" s="4" t="s">
        <v>19</v>
      </c>
      <c r="B11" s="13">
        <f>VLOOKUP(A11,'LOCCS Import'!A$19:N$200,2,)</f>
        <v>1161972037.8499999</v>
      </c>
      <c r="C11" s="13">
        <f>VLOOKUP(A11,'LOCCS Import'!A$19:N$200,3,)</f>
        <v>1009058031.05</v>
      </c>
      <c r="D11" s="13">
        <f t="shared" si="0"/>
        <v>152914006.79999995</v>
      </c>
      <c r="E11" s="13">
        <f>VLOOKUP(A11,'LOCCS Import'!A$19:N$200,4,)</f>
        <v>22900934.800000001</v>
      </c>
      <c r="F11" s="13">
        <f>VLOOKUP(A11,'LOCCS Import'!A$19:N$200,5,)</f>
        <v>24581601</v>
      </c>
      <c r="G11" s="14">
        <f>VLOOKUP(A11,'LOCCS Import'!A$19:N$200,6,)</f>
        <v>6.22</v>
      </c>
      <c r="H11" s="14">
        <f>VLOOKUP(A11,'LOCCS Import'!A$19:N$200,7,)</f>
        <v>0.93</v>
      </c>
      <c r="I11" s="13">
        <f t="shared" si="1"/>
        <v>1908411.2333333334</v>
      </c>
      <c r="J11" s="15">
        <f t="shared" si="2"/>
        <v>0</v>
      </c>
      <c r="K11" s="13">
        <f t="shared" si="3"/>
        <v>152914006.79999995</v>
      </c>
      <c r="L11" s="13" t="str">
        <f t="shared" si="4"/>
        <v>NA</v>
      </c>
      <c r="M11" s="13" t="str">
        <f t="shared" si="5"/>
        <v>NA</v>
      </c>
      <c r="N11" s="179">
        <v>43647</v>
      </c>
      <c r="O11" s="16">
        <f t="shared" si="6"/>
        <v>45839</v>
      </c>
      <c r="P11" s="13">
        <f ca="1">ROUND(C11-(VLOOKUP(A11,INDIRECT('LOCCS Import'!$E$3&amp;"$A$3"):INDIRECT('LOCCS Import'!$E$3&amp;"$O$54"),3,)),2)</f>
        <v>743930.03</v>
      </c>
      <c r="Q11" s="222" t="e">
        <f>#VALUE!</f>
        <v>#VALUE!</v>
      </c>
    </row>
    <row r="12" spans="1:17" x14ac:dyDescent="0.2">
      <c r="A12" s="4" t="s">
        <v>50</v>
      </c>
      <c r="B12" s="13">
        <f>VLOOKUP(A12,'LOCCS Import'!A$19:N$200,2,)</f>
        <v>1683242657.0699999</v>
      </c>
      <c r="C12" s="13">
        <f>VLOOKUP(A12,'LOCCS Import'!A$19:N$200,3,)</f>
        <v>1555709963.47</v>
      </c>
      <c r="D12" s="13">
        <f t="shared" si="0"/>
        <v>127532693.5999999</v>
      </c>
      <c r="E12" s="13">
        <f>VLOOKUP(A12,'LOCCS Import'!A$19:N$200,4,)</f>
        <v>31123512.629999999</v>
      </c>
      <c r="F12" s="13">
        <f>VLOOKUP(A12,'LOCCS Import'!A$19:N$200,5,)</f>
        <v>40945091</v>
      </c>
      <c r="G12" s="14">
        <f>VLOOKUP(A12,'LOCCS Import'!A$19:N$200,6,)</f>
        <v>3.11</v>
      </c>
      <c r="H12" s="14">
        <f>VLOOKUP(A12,'LOCCS Import'!A$19:N$200,7,)</f>
        <v>0.76</v>
      </c>
      <c r="I12" s="13">
        <f t="shared" si="1"/>
        <v>2593626.0524999998</v>
      </c>
      <c r="J12" s="15">
        <f t="shared" si="2"/>
        <v>0</v>
      </c>
      <c r="K12" s="13">
        <f t="shared" si="3"/>
        <v>127532693.5999999</v>
      </c>
      <c r="L12" s="13" t="str">
        <f t="shared" si="4"/>
        <v>NA</v>
      </c>
      <c r="M12" s="13" t="str">
        <f t="shared" si="5"/>
        <v>NA</v>
      </c>
      <c r="N12" s="179">
        <v>43647</v>
      </c>
      <c r="O12" s="16">
        <f t="shared" si="6"/>
        <v>45839</v>
      </c>
      <c r="P12" s="13">
        <f ca="1">ROUND(C12-(VLOOKUP(A12,INDIRECT('LOCCS Import'!$E$3&amp;"$A$3"):INDIRECT('LOCCS Import'!$E$3&amp;"$O$54"),3,)),2)</f>
        <v>1619481.95</v>
      </c>
      <c r="Q12" s="222" t="e">
        <f>#VALUE!</f>
        <v>#VALUE!</v>
      </c>
    </row>
    <row r="13" spans="1:17" x14ac:dyDescent="0.2">
      <c r="A13" s="4" t="s">
        <v>60</v>
      </c>
      <c r="B13" s="13">
        <f>VLOOKUP(A13,'LOCCS Import'!A$19:N$200,2,)</f>
        <v>351543186.45999998</v>
      </c>
      <c r="C13" s="13">
        <f>VLOOKUP(A13,'LOCCS Import'!A$19:N$200,3,)</f>
        <v>331141661.24000001</v>
      </c>
      <c r="D13" s="13">
        <f t="shared" si="0"/>
        <v>20401525.219999969</v>
      </c>
      <c r="E13" s="13">
        <f>VLOOKUP(A13,'LOCCS Import'!A$19:N$200,4,)</f>
        <v>6911736.5199999996</v>
      </c>
      <c r="F13" s="13">
        <f>VLOOKUP(A13,'LOCCS Import'!A$19:N$200,5,)</f>
        <v>8658249</v>
      </c>
      <c r="G13" s="14">
        <f>VLOOKUP(A13,'LOCCS Import'!A$19:N$200,6,)</f>
        <v>2.36</v>
      </c>
      <c r="H13" s="14">
        <f>VLOOKUP(A13,'LOCCS Import'!A$19:N$200,7,)</f>
        <v>0.8</v>
      </c>
      <c r="I13" s="13">
        <f t="shared" si="1"/>
        <v>575978.04333333333</v>
      </c>
      <c r="J13" s="15">
        <f t="shared" si="2"/>
        <v>9</v>
      </c>
      <c r="K13" s="13">
        <f t="shared" si="3"/>
        <v>15217722.829999968</v>
      </c>
      <c r="L13" s="13" t="str">
        <f t="shared" si="4"/>
        <v>on track</v>
      </c>
      <c r="M13" s="13" t="str">
        <f t="shared" si="5"/>
        <v>on track</v>
      </c>
      <c r="N13" s="179">
        <v>43556</v>
      </c>
      <c r="O13" s="16">
        <f t="shared" si="6"/>
        <v>46113</v>
      </c>
      <c r="P13" s="13">
        <f ca="1">ROUND(C13-(VLOOKUP(A13,INDIRECT('LOCCS Import'!$E$3&amp;"$A$3"):INDIRECT('LOCCS Import'!$E$3&amp;"$O$54"),3,)),2)</f>
        <v>443058.73</v>
      </c>
      <c r="Q13" s="222" t="e">
        <f>#VALUE!</f>
        <v>#VALUE!</v>
      </c>
    </row>
    <row r="14" spans="1:17" x14ac:dyDescent="0.2">
      <c r="A14" s="4" t="s">
        <v>23</v>
      </c>
      <c r="B14" s="13">
        <f>VLOOKUP(A14,'LOCCS Import'!A$19:N$200,2,)</f>
        <v>1365257298.0599999</v>
      </c>
      <c r="C14" s="13">
        <f>VLOOKUP(A14,'LOCCS Import'!A$19:N$200,3,)</f>
        <v>1249076674.76</v>
      </c>
      <c r="D14" s="13">
        <f t="shared" si="0"/>
        <v>116180623.29999995</v>
      </c>
      <c r="E14" s="13">
        <f>VLOOKUP(A14,'LOCCS Import'!A$19:N$200,4,)</f>
        <v>57336463.579999998</v>
      </c>
      <c r="F14" s="13">
        <f>VLOOKUP(A14,'LOCCS Import'!A$19:N$200,5,)</f>
        <v>28988172</v>
      </c>
      <c r="G14" s="14">
        <f>VLOOKUP(A14,'LOCCS Import'!A$19:N$200,6,)</f>
        <v>4.01</v>
      </c>
      <c r="H14" s="14">
        <f>VLOOKUP(A14,'LOCCS Import'!A$19:N$200,7,)</f>
        <v>1.98</v>
      </c>
      <c r="I14" s="13">
        <f t="shared" si="1"/>
        <v>4778038.6316666668</v>
      </c>
      <c r="J14" s="15">
        <f t="shared" si="2"/>
        <v>6</v>
      </c>
      <c r="K14" s="13">
        <f t="shared" si="3"/>
        <v>87512391.509999961</v>
      </c>
      <c r="L14" s="13">
        <f t="shared" si="4"/>
        <v>9700713.2166666593</v>
      </c>
      <c r="M14" s="13">
        <f t="shared" si="5"/>
        <v>7285032.2166666584</v>
      </c>
      <c r="N14" s="179">
        <v>43831</v>
      </c>
      <c r="O14" s="16">
        <f t="shared" si="6"/>
        <v>46023</v>
      </c>
      <c r="P14" s="13">
        <f ca="1">ROUND(C14-(VLOOKUP(A14,INDIRECT('LOCCS Import'!$E$3&amp;"$A$3"):INDIRECT('LOCCS Import'!$E$3&amp;"$O$54"),3,)),2)</f>
        <v>2780867.15</v>
      </c>
      <c r="Q14" s="222" t="e">
        <f>#VALUE!</f>
        <v>#VALUE!</v>
      </c>
    </row>
    <row r="15" spans="1:17" x14ac:dyDescent="0.2">
      <c r="A15" s="4" t="s">
        <v>63</v>
      </c>
      <c r="B15" s="13">
        <f>VLOOKUP(A15,'LOCCS Import'!A$19:N$200,2,)</f>
        <v>1340428223.5599999</v>
      </c>
      <c r="C15" s="13">
        <f>VLOOKUP(A15,'LOCCS Import'!A$19:N$200,3,)</f>
        <v>1261888114.1700001</v>
      </c>
      <c r="D15" s="13">
        <f t="shared" si="0"/>
        <v>78540109.389999866</v>
      </c>
      <c r="E15" s="13">
        <f>VLOOKUP(A15,'LOCCS Import'!A$19:N$200,4,)</f>
        <v>21950011.050000001</v>
      </c>
      <c r="F15" s="13">
        <f>VLOOKUP(A15,'LOCCS Import'!A$19:N$200,5,)</f>
        <v>30689455</v>
      </c>
      <c r="G15" s="14">
        <f>VLOOKUP(A15,'LOCCS Import'!A$19:N$200,6,)</f>
        <v>2.56</v>
      </c>
      <c r="H15" s="14">
        <f>VLOOKUP(A15,'LOCCS Import'!A$19:N$200,7,)</f>
        <v>0.72</v>
      </c>
      <c r="I15" s="13">
        <f t="shared" si="1"/>
        <v>1829167.5875000001</v>
      </c>
      <c r="J15" s="15">
        <f t="shared" si="2"/>
        <v>0</v>
      </c>
      <c r="K15" s="13">
        <f t="shared" si="3"/>
        <v>78540109.389999866</v>
      </c>
      <c r="L15" s="13" t="str">
        <f t="shared" si="4"/>
        <v>NA</v>
      </c>
      <c r="M15" s="13" t="str">
        <f t="shared" si="5"/>
        <v>NA</v>
      </c>
      <c r="N15" s="179">
        <v>43647</v>
      </c>
      <c r="O15" s="16">
        <f t="shared" si="6"/>
        <v>45839</v>
      </c>
      <c r="P15" s="13">
        <f ca="1">ROUND(C15-(VLOOKUP(A15,INDIRECT('LOCCS Import'!$E$3&amp;"$A$3"):INDIRECT('LOCCS Import'!$E$3&amp;"$O$54"),3,)),2)</f>
        <v>2338823.88</v>
      </c>
      <c r="Q15" s="222" t="e">
        <f>#VALUE!</f>
        <v>#VALUE!</v>
      </c>
    </row>
    <row r="16" spans="1:17" x14ac:dyDescent="0.2">
      <c r="A16" s="4" t="s">
        <v>51</v>
      </c>
      <c r="B16" s="13">
        <f>VLOOKUP(A16,'LOCCS Import'!A$19:N$200,2,)</f>
        <v>1083940953</v>
      </c>
      <c r="C16" s="13">
        <f>VLOOKUP(A16,'LOCCS Import'!A$19:N$200,3,)</f>
        <v>1006670882.92</v>
      </c>
      <c r="D16" s="13">
        <f t="shared" si="0"/>
        <v>77270070.080000043</v>
      </c>
      <c r="E16" s="13">
        <f>VLOOKUP(A16,'LOCCS Import'!A$19:N$200,4,)</f>
        <v>19386437.800000001</v>
      </c>
      <c r="F16" s="13">
        <f>VLOOKUP(A16,'LOCCS Import'!A$19:N$200,5,)</f>
        <v>24208645</v>
      </c>
      <c r="G16" s="14">
        <f>VLOOKUP(A16,'LOCCS Import'!A$19:N$200,6,)</f>
        <v>3.19</v>
      </c>
      <c r="H16" s="14">
        <f>VLOOKUP(A16,'LOCCS Import'!A$19:N$200,7,)</f>
        <v>0.8</v>
      </c>
      <c r="I16" s="13">
        <f t="shared" si="1"/>
        <v>1615536.4833333334</v>
      </c>
      <c r="J16" s="15">
        <f t="shared" si="2"/>
        <v>6</v>
      </c>
      <c r="K16" s="13">
        <f t="shared" si="3"/>
        <v>67576851.180000037</v>
      </c>
      <c r="L16" s="13">
        <f t="shared" si="4"/>
        <v>4808796.6800000072</v>
      </c>
      <c r="M16" s="13">
        <f t="shared" si="5"/>
        <v>2791409.5966666737</v>
      </c>
      <c r="N16" s="179">
        <v>43831</v>
      </c>
      <c r="O16" s="16">
        <f t="shared" si="6"/>
        <v>46023</v>
      </c>
      <c r="P16" s="13">
        <f ca="1">ROUND(C16-(VLOOKUP(A16,INDIRECT('LOCCS Import'!$E$3&amp;"$A$3"):INDIRECT('LOCCS Import'!$E$3&amp;"$O$54"),3,)),2)</f>
        <v>1879366.43</v>
      </c>
      <c r="Q16" s="222" t="e">
        <f>#VALUE!</f>
        <v>#VALUE!</v>
      </c>
    </row>
    <row r="17" spans="1:17" x14ac:dyDescent="0.2">
      <c r="A17" s="4" t="s">
        <v>55</v>
      </c>
      <c r="B17" s="13">
        <f>VLOOKUP(A17,'LOCCS Import'!A$19:N$200,2,)</f>
        <v>689945660</v>
      </c>
      <c r="C17" s="13">
        <f>VLOOKUP(A17,'LOCCS Import'!A$19:N$200,3,)</f>
        <v>642578103.62</v>
      </c>
      <c r="D17" s="13">
        <f t="shared" si="0"/>
        <v>47367556.379999995</v>
      </c>
      <c r="E17" s="13">
        <f>VLOOKUP(A17,'LOCCS Import'!A$19:N$200,4,)</f>
        <v>9028561.3599999994</v>
      </c>
      <c r="F17" s="13">
        <f>VLOOKUP(A17,'LOCCS Import'!A$19:N$200,5,)</f>
        <v>14901309</v>
      </c>
      <c r="G17" s="14">
        <f>VLOOKUP(A17,'LOCCS Import'!A$19:N$200,6,)</f>
        <v>3.18</v>
      </c>
      <c r="H17" s="14">
        <f>VLOOKUP(A17,'LOCCS Import'!A$19:N$200,7,)</f>
        <v>0.61</v>
      </c>
      <c r="I17" s="13">
        <f t="shared" si="1"/>
        <v>752380.11333333328</v>
      </c>
      <c r="J17" s="15">
        <f t="shared" si="2"/>
        <v>6</v>
      </c>
      <c r="K17" s="13">
        <f t="shared" si="3"/>
        <v>42853275.699999996</v>
      </c>
      <c r="L17" s="13">
        <f t="shared" si="4"/>
        <v>2927489.7299999991</v>
      </c>
      <c r="M17" s="13">
        <f t="shared" si="5"/>
        <v>1685713.9799999993</v>
      </c>
      <c r="N17" s="179">
        <v>43466</v>
      </c>
      <c r="O17" s="16">
        <f t="shared" si="6"/>
        <v>46023</v>
      </c>
      <c r="P17" s="13">
        <f ca="1">ROUND(C17-(VLOOKUP(A17,INDIRECT('LOCCS Import'!$E$3&amp;"$A$3"):INDIRECT('LOCCS Import'!$E$3&amp;"$O$54"),3,)),2)</f>
        <v>494896.09</v>
      </c>
      <c r="Q17" s="222" t="e">
        <f>#VALUE!</f>
        <v>#VALUE!</v>
      </c>
    </row>
    <row r="18" spans="1:17" x14ac:dyDescent="0.2">
      <c r="A18" s="4" t="s">
        <v>32</v>
      </c>
      <c r="B18" s="13">
        <f>VLOOKUP(A18,'LOCCS Import'!A$19:N$200,2,)</f>
        <v>1194714205.73</v>
      </c>
      <c r="C18" s="13">
        <f>VLOOKUP(A18,'LOCCS Import'!A$19:N$200,3,)</f>
        <v>1086800636.95</v>
      </c>
      <c r="D18" s="13">
        <f t="shared" si="0"/>
        <v>107913568.77999997</v>
      </c>
      <c r="E18" s="13">
        <f>VLOOKUP(A18,'LOCCS Import'!A$19:N$200,4,)</f>
        <v>22060944.870000001</v>
      </c>
      <c r="F18" s="13">
        <f>VLOOKUP(A18,'LOCCS Import'!A$19:N$200,5,)</f>
        <v>26571929</v>
      </c>
      <c r="G18" s="14">
        <f>VLOOKUP(A18,'LOCCS Import'!A$19:N$200,6,)</f>
        <v>4.0599999999999996</v>
      </c>
      <c r="H18" s="14">
        <f>VLOOKUP(A18,'LOCCS Import'!A$19:N$200,7,)</f>
        <v>0.83</v>
      </c>
      <c r="I18" s="13">
        <f t="shared" si="1"/>
        <v>1838412.0725</v>
      </c>
      <c r="J18" s="15">
        <f t="shared" si="2"/>
        <v>0</v>
      </c>
      <c r="K18" s="13">
        <f t="shared" si="3"/>
        <v>107913568.77999997</v>
      </c>
      <c r="L18" s="13" t="str">
        <f t="shared" si="4"/>
        <v>NA</v>
      </c>
      <c r="M18" s="13" t="str">
        <f t="shared" si="5"/>
        <v>NA</v>
      </c>
      <c r="N18" s="179">
        <v>43647</v>
      </c>
      <c r="O18" s="16">
        <f t="shared" si="6"/>
        <v>45839</v>
      </c>
      <c r="P18" s="13">
        <f ca="1">ROUND(C18-(VLOOKUP(A18,INDIRECT('LOCCS Import'!$E$3&amp;"$A$3"):INDIRECT('LOCCS Import'!$E$3&amp;"$O$54"),3,)),2)</f>
        <v>1660249</v>
      </c>
      <c r="Q18" s="222" t="e">
        <f>#VALUE!</f>
        <v>#VALUE!</v>
      </c>
    </row>
    <row r="19" spans="1:17" x14ac:dyDescent="0.2">
      <c r="A19" s="4" t="s">
        <v>58</v>
      </c>
      <c r="B19" s="13">
        <f>VLOOKUP(A19,'LOCCS Import'!A$19:N$200,2,)</f>
        <v>1227877221</v>
      </c>
      <c r="C19" s="13">
        <f>VLOOKUP(A19,'LOCCS Import'!A$19:N$200,3,)</f>
        <v>1173073111.6700001</v>
      </c>
      <c r="D19" s="13">
        <f t="shared" si="0"/>
        <v>54804109.329999924</v>
      </c>
      <c r="E19" s="13">
        <f>VLOOKUP(A19,'LOCCS Import'!A$19:N$200,4,)</f>
        <v>18369911.34</v>
      </c>
      <c r="F19" s="13">
        <f>VLOOKUP(A19,'LOCCS Import'!A$19:N$200,5,)</f>
        <v>22761731</v>
      </c>
      <c r="G19" s="14">
        <f>VLOOKUP(A19,'LOCCS Import'!A$19:N$200,6,)</f>
        <v>2.41</v>
      </c>
      <c r="H19" s="14">
        <f>VLOOKUP(A19,'LOCCS Import'!A$19:N$200,7,)</f>
        <v>0.81</v>
      </c>
      <c r="I19" s="13">
        <f t="shared" si="1"/>
        <v>1530825.9450000001</v>
      </c>
      <c r="J19" s="15">
        <f t="shared" si="2"/>
        <v>9</v>
      </c>
      <c r="K19" s="13">
        <f t="shared" si="3"/>
        <v>41026675.824999921</v>
      </c>
      <c r="L19" s="13" t="str">
        <f t="shared" si="4"/>
        <v>on track</v>
      </c>
      <c r="M19" s="13" t="str">
        <f t="shared" si="5"/>
        <v>on track</v>
      </c>
      <c r="N19" s="179">
        <v>43922</v>
      </c>
      <c r="O19" s="16">
        <f t="shared" si="6"/>
        <v>46113</v>
      </c>
      <c r="P19" s="13">
        <f ca="1">ROUND(C19-(VLOOKUP(A19,INDIRECT('LOCCS Import'!$E$3&amp;"$A$3"):INDIRECT('LOCCS Import'!$E$3&amp;"$O$54"),3,)),2)</f>
        <v>800589.75</v>
      </c>
      <c r="Q19" s="222" t="e">
        <f>#VALUE!</f>
        <v>#VALUE!</v>
      </c>
    </row>
    <row r="20" spans="1:17" x14ac:dyDescent="0.2">
      <c r="A20" s="4" t="s">
        <v>68</v>
      </c>
      <c r="B20" s="13">
        <f>VLOOKUP(A20,'LOCCS Import'!A$19:N$200,2,)</f>
        <v>509113932</v>
      </c>
      <c r="C20" s="13">
        <f>VLOOKUP(A20,'LOCCS Import'!A$19:N$200,3,)</f>
        <v>487377146.81</v>
      </c>
      <c r="D20" s="13">
        <f t="shared" si="0"/>
        <v>21736785.189999998</v>
      </c>
      <c r="E20" s="13">
        <f>VLOOKUP(A20,'LOCCS Import'!A$19:N$200,4,)</f>
        <v>11593702.289999999</v>
      </c>
      <c r="F20" s="13">
        <f>VLOOKUP(A20,'LOCCS Import'!A$19:N$200,5,)</f>
        <v>11867952</v>
      </c>
      <c r="G20" s="14">
        <f>VLOOKUP(A20,'LOCCS Import'!A$19:N$200,6,)</f>
        <v>1.83</v>
      </c>
      <c r="H20" s="14">
        <f>VLOOKUP(A20,'LOCCS Import'!A$19:N$200,7,)</f>
        <v>0.98</v>
      </c>
      <c r="I20" s="13">
        <f t="shared" si="1"/>
        <v>966141.85749999993</v>
      </c>
      <c r="J20" s="15">
        <f t="shared" si="2"/>
        <v>6</v>
      </c>
      <c r="K20" s="13">
        <f t="shared" si="3"/>
        <v>15939934.044999998</v>
      </c>
      <c r="L20" s="13" t="str">
        <f t="shared" si="4"/>
        <v>on track</v>
      </c>
      <c r="M20" s="13" t="str">
        <f t="shared" si="5"/>
        <v>on track</v>
      </c>
      <c r="N20" s="179">
        <v>43831</v>
      </c>
      <c r="O20" s="16">
        <f t="shared" si="6"/>
        <v>46023</v>
      </c>
      <c r="P20" s="13">
        <f ca="1">ROUND(C20-(VLOOKUP(A20,INDIRECT('LOCCS Import'!$E$3&amp;"$A$3"):INDIRECT('LOCCS Import'!$E$3&amp;"$O$54"),3,)),2)</f>
        <v>974329.41</v>
      </c>
      <c r="Q20" s="222" t="e">
        <f>#VALUE!</f>
        <v>#VALUE!</v>
      </c>
    </row>
    <row r="21" spans="1:17" x14ac:dyDescent="0.2">
      <c r="A21" s="4" t="s">
        <v>46</v>
      </c>
      <c r="B21" s="13">
        <f>VLOOKUP(A21,'LOCCS Import'!A$19:N$200,2,)</f>
        <v>321862947.48000002</v>
      </c>
      <c r="C21" s="13">
        <f>VLOOKUP(A21,'LOCCS Import'!A$19:N$200,3,)</f>
        <v>298331380.38999999</v>
      </c>
      <c r="D21" s="13">
        <f t="shared" si="0"/>
        <v>23531567.090000033</v>
      </c>
      <c r="E21" s="13">
        <f>VLOOKUP(A21,'LOCCS Import'!A$19:N$200,4,)</f>
        <v>8227209.8899999997</v>
      </c>
      <c r="F21" s="13">
        <f>VLOOKUP(A21,'LOCCS Import'!A$19:N$200,5,)</f>
        <v>7416560</v>
      </c>
      <c r="G21" s="14">
        <f>VLOOKUP(A21,'LOCCS Import'!A$19:N$200,6,)</f>
        <v>3.17</v>
      </c>
      <c r="H21" s="14">
        <f>VLOOKUP(A21,'LOCCS Import'!A$19:N$200,7,)</f>
        <v>1.1100000000000001</v>
      </c>
      <c r="I21" s="13">
        <f t="shared" si="1"/>
        <v>685600.8241666666</v>
      </c>
      <c r="J21" s="15">
        <f t="shared" si="2"/>
        <v>0</v>
      </c>
      <c r="K21" s="13">
        <f t="shared" si="3"/>
        <v>23531567.090000033</v>
      </c>
      <c r="L21" s="13" t="str">
        <f t="shared" si="4"/>
        <v>NA</v>
      </c>
      <c r="M21" s="13" t="str">
        <f t="shared" si="5"/>
        <v>NA</v>
      </c>
      <c r="N21" s="179">
        <v>43647</v>
      </c>
      <c r="O21" s="16">
        <f t="shared" si="6"/>
        <v>45839</v>
      </c>
      <c r="P21" s="13">
        <f ca="1">ROUND(C21-(VLOOKUP(A21,INDIRECT('LOCCS Import'!$E$3&amp;"$A$3"):INDIRECT('LOCCS Import'!$E$3&amp;"$O$54"),3,)),2)</f>
        <v>41091.870000000003</v>
      </c>
      <c r="Q21" s="222" t="e">
        <f>#VALUE!</f>
        <v>#VALUE!</v>
      </c>
    </row>
    <row r="22" spans="1:17" x14ac:dyDescent="0.2">
      <c r="A22" s="4" t="s">
        <v>54</v>
      </c>
      <c r="B22" s="13">
        <f>VLOOKUP(A22,'LOCCS Import'!A$19:N$200,2,)</f>
        <v>1428807757.99</v>
      </c>
      <c r="C22" s="13">
        <f>VLOOKUP(A22,'LOCCS Import'!A$19:N$200,3,)</f>
        <v>1358503146.6800001</v>
      </c>
      <c r="D22" s="13">
        <f t="shared" si="0"/>
        <v>70304611.309999943</v>
      </c>
      <c r="E22" s="13">
        <f>VLOOKUP(A22,'LOCCS Import'!A$19:N$200,4,)</f>
        <v>46516013.880000003</v>
      </c>
      <c r="F22" s="13">
        <f>VLOOKUP(A22,'LOCCS Import'!A$19:N$200,5,)</f>
        <v>34424780</v>
      </c>
      <c r="G22" s="14">
        <f>VLOOKUP(A22,'LOCCS Import'!A$19:N$200,6,)</f>
        <v>2.04</v>
      </c>
      <c r="H22" s="14">
        <f>VLOOKUP(A22,'LOCCS Import'!A$19:N$200,7,)</f>
        <v>1.35</v>
      </c>
      <c r="I22" s="13">
        <f t="shared" si="1"/>
        <v>3876334.49</v>
      </c>
      <c r="J22" s="15">
        <f t="shared" si="2"/>
        <v>9</v>
      </c>
      <c r="K22" s="13">
        <f t="shared" si="3"/>
        <v>35417600.899999939</v>
      </c>
      <c r="L22" s="13" t="str">
        <f t="shared" si="4"/>
        <v>on track</v>
      </c>
      <c r="M22" s="13" t="str">
        <f t="shared" si="5"/>
        <v>on track</v>
      </c>
      <c r="N22" s="179">
        <v>43922</v>
      </c>
      <c r="O22" s="16">
        <f t="shared" si="6"/>
        <v>46113</v>
      </c>
      <c r="P22" s="13">
        <f ca="1">ROUND(C22-(VLOOKUP(A22,INDIRECT('LOCCS Import'!$E$3&amp;"$A$3"):INDIRECT('LOCCS Import'!$E$3&amp;"$O$54"),3,)),2)</f>
        <v>1647682.1</v>
      </c>
      <c r="Q22" s="222" t="e">
        <f>#VALUE!</f>
        <v>#VALUE!</v>
      </c>
    </row>
    <row r="23" spans="1:17" x14ac:dyDescent="0.2">
      <c r="A23" s="4" t="s">
        <v>24</v>
      </c>
      <c r="B23" s="13">
        <f>VLOOKUP(A23,'LOCCS Import'!A$19:N$200,2,)</f>
        <v>1503333344.97</v>
      </c>
      <c r="C23" s="13">
        <f>VLOOKUP(A23,'LOCCS Import'!A$19:N$200,3,)</f>
        <v>1321172056.3499999</v>
      </c>
      <c r="D23" s="13">
        <f t="shared" si="0"/>
        <v>182161288.62000012</v>
      </c>
      <c r="E23" s="13">
        <f>VLOOKUP(A23,'LOCCS Import'!A$19:N$200,4,)</f>
        <v>22475092.48</v>
      </c>
      <c r="F23" s="13">
        <f>VLOOKUP(A23,'LOCCS Import'!A$19:N$200,5,)</f>
        <v>34090474</v>
      </c>
      <c r="G23" s="14">
        <f>VLOOKUP(A23,'LOCCS Import'!A$19:N$200,6,)</f>
        <v>5.34</v>
      </c>
      <c r="H23" s="14">
        <f>VLOOKUP(A23,'LOCCS Import'!A$19:N$200,7,)</f>
        <v>0.66</v>
      </c>
      <c r="I23" s="13">
        <f t="shared" si="1"/>
        <v>1872924.3733333333</v>
      </c>
      <c r="J23" s="15">
        <f t="shared" si="2"/>
        <v>0</v>
      </c>
      <c r="K23" s="13">
        <f t="shared" si="3"/>
        <v>182161288.62000012</v>
      </c>
      <c r="L23" s="13" t="str">
        <f t="shared" si="4"/>
        <v>NA</v>
      </c>
      <c r="M23" s="13" t="str">
        <f t="shared" si="5"/>
        <v>NA</v>
      </c>
      <c r="N23" s="179">
        <v>43647</v>
      </c>
      <c r="O23" s="16">
        <f t="shared" si="6"/>
        <v>45839</v>
      </c>
      <c r="P23" s="13">
        <f ca="1">ROUND(C23-(VLOOKUP(A23,INDIRECT('LOCCS Import'!$E$3&amp;"$A$3"):INDIRECT('LOCCS Import'!$E$3&amp;"$O$54"),3,)),2)</f>
        <v>591233.89</v>
      </c>
      <c r="Q23" s="222" t="e">
        <f>#VALUE!</f>
        <v>#VALUE!</v>
      </c>
    </row>
    <row r="24" spans="1:17" x14ac:dyDescent="0.2">
      <c r="A24" s="4" t="s">
        <v>27</v>
      </c>
      <c r="B24" s="13">
        <f>VLOOKUP(A24,'LOCCS Import'!A$19:N$200,2,)</f>
        <v>872347192</v>
      </c>
      <c r="C24" s="13">
        <f>VLOOKUP(A24,'LOCCS Import'!A$19:N$200,3,)</f>
        <v>794261309.60000002</v>
      </c>
      <c r="D24" s="13">
        <f t="shared" si="0"/>
        <v>78085882.399999976</v>
      </c>
      <c r="E24" s="13">
        <f>VLOOKUP(A24,'LOCCS Import'!A$19:N$200,4,)</f>
        <v>17287576.140000001</v>
      </c>
      <c r="F24" s="13">
        <f>VLOOKUP(A24,'LOCCS Import'!A$19:N$200,5,)</f>
        <v>19090913</v>
      </c>
      <c r="G24" s="14">
        <f>VLOOKUP(A24,'LOCCS Import'!A$19:N$200,6,)</f>
        <v>4.09</v>
      </c>
      <c r="H24" s="14">
        <f>VLOOKUP(A24,'LOCCS Import'!A$19:N$200,7,)</f>
        <v>0.91</v>
      </c>
      <c r="I24" s="13">
        <f t="shared" si="1"/>
        <v>1440631.345</v>
      </c>
      <c r="J24" s="15">
        <f t="shared" si="2"/>
        <v>3</v>
      </c>
      <c r="K24" s="13">
        <f t="shared" si="3"/>
        <v>73763988.36499998</v>
      </c>
      <c r="L24" s="13">
        <f t="shared" si="4"/>
        <v>13301352.133333325</v>
      </c>
      <c r="M24" s="13">
        <f t="shared" si="5"/>
        <v>10119533.299999991</v>
      </c>
      <c r="N24" s="179">
        <v>43739</v>
      </c>
      <c r="O24" s="16">
        <f t="shared" si="6"/>
        <v>45931</v>
      </c>
      <c r="P24" s="13">
        <f ca="1">ROUND(C24-(VLOOKUP(A24,INDIRECT('LOCCS Import'!$E$3&amp;"$A$3"):INDIRECT('LOCCS Import'!$E$3&amp;"$O$54"),3,)),2)</f>
        <v>1498671.03</v>
      </c>
      <c r="Q24" s="222" t="e">
        <f>#VALUE!</f>
        <v>#VALUE!</v>
      </c>
    </row>
    <row r="25" spans="1:17" x14ac:dyDescent="0.2">
      <c r="A25" s="4" t="s">
        <v>49</v>
      </c>
      <c r="B25" s="13">
        <f>VLOOKUP(A25,'LOCCS Import'!A$19:N$200,2,)</f>
        <v>1263148065.8299999</v>
      </c>
      <c r="C25" s="13">
        <f>VLOOKUP(A25,'LOCCS Import'!A$19:N$200,3,)</f>
        <v>1188965685.6400001</v>
      </c>
      <c r="D25" s="13">
        <f t="shared" si="0"/>
        <v>74182380.189999819</v>
      </c>
      <c r="E25" s="13">
        <f>VLOOKUP(A25,'LOCCS Import'!A$19:N$200,4,)</f>
        <v>19013331.52</v>
      </c>
      <c r="F25" s="13">
        <f>VLOOKUP(A25,'LOCCS Import'!A$19:N$200,5,)</f>
        <v>23759923</v>
      </c>
      <c r="G25" s="14">
        <f>VLOOKUP(A25,'LOCCS Import'!A$19:N$200,6,)</f>
        <v>3.12</v>
      </c>
      <c r="H25" s="14">
        <f>VLOOKUP(A25,'LOCCS Import'!A$19:N$200,7,)</f>
        <v>0.8</v>
      </c>
      <c r="I25" s="13">
        <f t="shared" si="1"/>
        <v>1584444.2933333332</v>
      </c>
      <c r="J25" s="15">
        <f t="shared" si="2"/>
        <v>0</v>
      </c>
      <c r="K25" s="13">
        <f t="shared" si="3"/>
        <v>74182380.189999819</v>
      </c>
      <c r="L25" s="13" t="str">
        <f t="shared" si="4"/>
        <v>NA</v>
      </c>
      <c r="M25" s="13" t="str">
        <f t="shared" si="5"/>
        <v>NA</v>
      </c>
      <c r="N25" s="179">
        <v>43647</v>
      </c>
      <c r="O25" s="16">
        <f t="shared" si="6"/>
        <v>45839</v>
      </c>
      <c r="P25" s="13">
        <f ca="1">ROUND(C25-(VLOOKUP(A25,INDIRECT('LOCCS Import'!$E$3&amp;"$A$3"):INDIRECT('LOCCS Import'!$E$3&amp;"$O$54"),3,)),2)</f>
        <v>2444399.9500000002</v>
      </c>
      <c r="Q25" s="222" t="e">
        <f>#VALUE!</f>
        <v>#VALUE!</v>
      </c>
    </row>
    <row r="26" spans="1:17" x14ac:dyDescent="0.2">
      <c r="A26" s="4" t="s">
        <v>33</v>
      </c>
      <c r="B26" s="13">
        <f>VLOOKUP(A26,'LOCCS Import'!A$19:N$200,2,)</f>
        <v>1033187132</v>
      </c>
      <c r="C26" s="13">
        <f>VLOOKUP(A26,'LOCCS Import'!A$19:N$200,3,)</f>
        <v>957122951.54999995</v>
      </c>
      <c r="D26" s="13">
        <f t="shared" si="0"/>
        <v>76064180.450000048</v>
      </c>
      <c r="E26" s="13">
        <f>VLOOKUP(A26,'LOCCS Import'!A$19:N$200,4,)</f>
        <v>22629375.100000001</v>
      </c>
      <c r="F26" s="13">
        <f>VLOOKUP(A26,'LOCCS Import'!A$19:N$200,5,)</f>
        <v>22862412</v>
      </c>
      <c r="G26" s="14">
        <f>VLOOKUP(A26,'LOCCS Import'!A$19:N$200,6,)</f>
        <v>3.33</v>
      </c>
      <c r="H26" s="14">
        <f>VLOOKUP(A26,'LOCCS Import'!A$19:N$200,7,)</f>
        <v>0.99</v>
      </c>
      <c r="I26" s="13">
        <f t="shared" si="1"/>
        <v>1885781.2583333335</v>
      </c>
      <c r="J26" s="15">
        <f t="shared" si="2"/>
        <v>9</v>
      </c>
      <c r="K26" s="13">
        <f t="shared" si="3"/>
        <v>59092149.125000045</v>
      </c>
      <c r="L26" s="13">
        <f t="shared" si="4"/>
        <v>3371039.6055555609</v>
      </c>
      <c r="M26" s="13">
        <f t="shared" si="5"/>
        <v>2100905.6055555609</v>
      </c>
      <c r="N26" s="179">
        <v>43922</v>
      </c>
      <c r="O26" s="16">
        <f t="shared" si="6"/>
        <v>46113</v>
      </c>
      <c r="P26" s="13">
        <f ca="1">ROUND(C26-(VLOOKUP(A26,INDIRECT('LOCCS Import'!$E$3&amp;"$A$3"):INDIRECT('LOCCS Import'!$E$3&amp;"$O$54"),3,)),2)</f>
        <v>1150559.99</v>
      </c>
      <c r="Q26" s="222" t="e">
        <f>#VALUE!</f>
        <v>#VALUE!</v>
      </c>
    </row>
    <row r="27" spans="1:17" x14ac:dyDescent="0.2">
      <c r="A27" s="4" t="s">
        <v>25</v>
      </c>
      <c r="B27" s="13">
        <f>VLOOKUP(A27,'LOCCS Import'!A$19:N$200,2,)</f>
        <v>271317340</v>
      </c>
      <c r="C27" s="13">
        <f>VLOOKUP(A27,'LOCCS Import'!A$19:N$200,3,)</f>
        <v>248154893.91</v>
      </c>
      <c r="D27" s="13">
        <f t="shared" si="0"/>
        <v>23162446.090000004</v>
      </c>
      <c r="E27" s="13">
        <f>VLOOKUP(A27,'LOCCS Import'!A$19:N$200,4,)</f>
        <v>7728494.79</v>
      </c>
      <c r="F27" s="13">
        <f>VLOOKUP(A27,'LOCCS Import'!A$19:N$200,5,)</f>
        <v>6196840</v>
      </c>
      <c r="G27" s="14">
        <f>VLOOKUP(A27,'LOCCS Import'!A$19:N$200,6,)</f>
        <v>3.74</v>
      </c>
      <c r="H27" s="14">
        <f>VLOOKUP(A27,'LOCCS Import'!A$19:N$200,7,)</f>
        <v>1.25</v>
      </c>
      <c r="I27" s="13">
        <f t="shared" si="1"/>
        <v>644041.23250000004</v>
      </c>
      <c r="J27" s="15">
        <f t="shared" si="2"/>
        <v>9</v>
      </c>
      <c r="K27" s="13">
        <f t="shared" si="3"/>
        <v>17366074.997500002</v>
      </c>
      <c r="L27" s="13">
        <f t="shared" si="4"/>
        <v>1196529.565555556</v>
      </c>
      <c r="M27" s="13">
        <f t="shared" si="5"/>
        <v>852260.6766666671</v>
      </c>
      <c r="N27" s="179">
        <v>43922</v>
      </c>
      <c r="O27" s="16">
        <f t="shared" si="6"/>
        <v>46113</v>
      </c>
      <c r="P27" s="13">
        <f ca="1">ROUND(C27-(VLOOKUP(A27,INDIRECT('LOCCS Import'!$E$3&amp;"$A$3"):INDIRECT('LOCCS Import'!$E$3&amp;"$O$54"),3,)),2)</f>
        <v>470759.15</v>
      </c>
      <c r="Q27" s="222" t="e">
        <f>#VALUE!</f>
        <v>#VALUE!</v>
      </c>
    </row>
    <row r="28" spans="1:17" x14ac:dyDescent="0.2">
      <c r="A28" s="4" t="s">
        <v>39</v>
      </c>
      <c r="B28" s="13">
        <f>VLOOKUP(A28,'LOCCS Import'!A$19:N$200,2,)</f>
        <v>511163315.91000003</v>
      </c>
      <c r="C28" s="13">
        <f>VLOOKUP(A28,'LOCCS Import'!A$19:N$200,3,)</f>
        <v>468219559.33999997</v>
      </c>
      <c r="D28" s="13">
        <f t="shared" si="0"/>
        <v>42943756.570000052</v>
      </c>
      <c r="E28" s="13">
        <f>VLOOKUP(A28,'LOCCS Import'!A$19:N$200,4,)</f>
        <v>6777143.7999999998</v>
      </c>
      <c r="F28" s="13">
        <f>VLOOKUP(A28,'LOCCS Import'!A$19:N$200,5,)</f>
        <v>10598087</v>
      </c>
      <c r="G28" s="14">
        <f>VLOOKUP(A28,'LOCCS Import'!A$19:N$200,6,)</f>
        <v>4.05</v>
      </c>
      <c r="H28" s="14">
        <f>VLOOKUP(A28,'LOCCS Import'!A$19:N$200,7,)</f>
        <v>0.64</v>
      </c>
      <c r="I28" s="13">
        <f t="shared" si="1"/>
        <v>564761.98333333328</v>
      </c>
      <c r="J28" s="15">
        <f t="shared" si="2"/>
        <v>0</v>
      </c>
      <c r="K28" s="13">
        <f t="shared" si="3"/>
        <v>42943756.570000052</v>
      </c>
      <c r="L28" s="13" t="str">
        <f t="shared" si="4"/>
        <v>NA</v>
      </c>
      <c r="M28" s="13" t="str">
        <f t="shared" si="5"/>
        <v>NA</v>
      </c>
      <c r="N28" s="179">
        <v>43647</v>
      </c>
      <c r="O28" s="16">
        <f t="shared" si="6"/>
        <v>45839</v>
      </c>
      <c r="P28" s="13">
        <f ca="1">ROUND(C28-(VLOOKUP(A28,INDIRECT('LOCCS Import'!$E$3&amp;"$A$3"):INDIRECT('LOCCS Import'!$E$3&amp;"$O$54"),3,)),2)</f>
        <v>444569.43</v>
      </c>
      <c r="Q28" s="222" t="e">
        <f>#VALUE!</f>
        <v>#VALUE!</v>
      </c>
    </row>
    <row r="29" spans="1:17" x14ac:dyDescent="0.2">
      <c r="A29" s="4" t="s">
        <v>57</v>
      </c>
      <c r="B29" s="13">
        <f>VLOOKUP(A29,'LOCCS Import'!A$19:N$200,2,)</f>
        <v>101611843</v>
      </c>
      <c r="C29" s="13">
        <f>VLOOKUP(A29,'LOCCS Import'!A$19:N$200,3,)</f>
        <v>96103461.560000002</v>
      </c>
      <c r="D29" s="13">
        <f t="shared" si="0"/>
        <v>5508381.4399999976</v>
      </c>
      <c r="E29" s="13">
        <f>VLOOKUP(A29,'LOCCS Import'!A$19:N$200,4,)</f>
        <v>3484153.46</v>
      </c>
      <c r="F29" s="13">
        <f>VLOOKUP(A29,'LOCCS Import'!A$19:N$200,5,)</f>
        <v>2910779</v>
      </c>
      <c r="G29" s="14">
        <f>VLOOKUP(A29,'LOCCS Import'!A$19:N$200,6,)</f>
        <v>1.89</v>
      </c>
      <c r="H29" s="14">
        <f>VLOOKUP(A29,'LOCCS Import'!A$19:N$200,7,)</f>
        <v>1.2</v>
      </c>
      <c r="I29" s="13">
        <f t="shared" si="1"/>
        <v>290346.12166666664</v>
      </c>
      <c r="J29" s="15">
        <f t="shared" si="2"/>
        <v>0</v>
      </c>
      <c r="K29" s="13">
        <f t="shared" si="3"/>
        <v>5508381.4399999976</v>
      </c>
      <c r="L29" s="13" t="str">
        <f t="shared" si="4"/>
        <v>on track</v>
      </c>
      <c r="M29" s="13" t="str">
        <f t="shared" si="5"/>
        <v>on track</v>
      </c>
      <c r="N29" s="179">
        <v>43647</v>
      </c>
      <c r="O29" s="16">
        <f t="shared" si="6"/>
        <v>45839</v>
      </c>
      <c r="P29" s="13">
        <f ca="1">ROUND(C29-(VLOOKUP(A29,INDIRECT('LOCCS Import'!$E$3&amp;"$A$3"):INDIRECT('LOCCS Import'!$E$3&amp;"$O$54"),3,)),2)</f>
        <v>0</v>
      </c>
      <c r="Q29" s="222" t="e">
        <f>#VALUE!</f>
        <v>#VALUE!</v>
      </c>
    </row>
    <row r="30" spans="1:17" x14ac:dyDescent="0.2">
      <c r="A30" s="4" t="s">
        <v>64</v>
      </c>
      <c r="B30" s="13">
        <f>VLOOKUP(A30,'LOCCS Import'!A$19:N$200,2,)</f>
        <v>355494147</v>
      </c>
      <c r="C30" s="13">
        <f>VLOOKUP(A30,'LOCCS Import'!A$19:N$200,3,)</f>
        <v>330781197.51999998</v>
      </c>
      <c r="D30" s="13">
        <f t="shared" si="0"/>
        <v>24712949.480000019</v>
      </c>
      <c r="E30" s="13">
        <f>VLOOKUP(A30,'LOCCS Import'!A$19:N$200,4,)</f>
        <v>8495625.0399999991</v>
      </c>
      <c r="F30" s="13">
        <f>VLOOKUP(A30,'LOCCS Import'!A$19:N$200,5,)</f>
        <v>9435207</v>
      </c>
      <c r="G30" s="14">
        <f>VLOOKUP(A30,'LOCCS Import'!A$19:N$200,6,)</f>
        <v>2.62</v>
      </c>
      <c r="H30" s="14">
        <f>VLOOKUP(A30,'LOCCS Import'!A$19:N$200,7,)</f>
        <v>0.9</v>
      </c>
      <c r="I30" s="13">
        <f t="shared" si="1"/>
        <v>707968.7533333333</v>
      </c>
      <c r="J30" s="15">
        <f t="shared" si="2"/>
        <v>6</v>
      </c>
      <c r="K30" s="13">
        <f t="shared" si="3"/>
        <v>20465136.96000002</v>
      </c>
      <c r="L30" s="13">
        <f t="shared" si="4"/>
        <v>973755.91333333647</v>
      </c>
      <c r="M30" s="13" t="str">
        <f t="shared" si="5"/>
        <v>on track</v>
      </c>
      <c r="N30" s="179">
        <v>43831</v>
      </c>
      <c r="O30" s="16">
        <f t="shared" si="6"/>
        <v>46023</v>
      </c>
      <c r="P30" s="13">
        <f ca="1">ROUND(C30-(VLOOKUP(A30,INDIRECT('LOCCS Import'!$E$3&amp;"$A$3"):INDIRECT('LOCCS Import'!$E$3&amp;"$O$54"),3,)),2)</f>
        <v>622623.72</v>
      </c>
      <c r="Q30" s="222" t="e">
        <f>#VALUE!</f>
        <v>#VALUE!</v>
      </c>
    </row>
    <row r="31" spans="1:17" x14ac:dyDescent="0.2">
      <c r="A31" s="4" t="s">
        <v>44</v>
      </c>
      <c r="B31" s="13">
        <f>VLOOKUP(A31,'LOCCS Import'!A$19:N$200,2,)</f>
        <v>307409614.24000001</v>
      </c>
      <c r="C31" s="13">
        <f>VLOOKUP(A31,'LOCCS Import'!A$19:N$200,3,)</f>
        <v>282349391.45999998</v>
      </c>
      <c r="D31" s="13">
        <f t="shared" si="0"/>
        <v>25060222.780000031</v>
      </c>
      <c r="E31" s="13">
        <f>VLOOKUP(A31,'LOCCS Import'!A$19:N$200,4,)</f>
        <v>4509252.93</v>
      </c>
      <c r="F31" s="13">
        <f>VLOOKUP(A31,'LOCCS Import'!A$19:N$200,5,)</f>
        <v>6878551</v>
      </c>
      <c r="G31" s="14">
        <f>VLOOKUP(A31,'LOCCS Import'!A$19:N$200,6,)</f>
        <v>3.64</v>
      </c>
      <c r="H31" s="14">
        <f>VLOOKUP(A31,'LOCCS Import'!A$19:N$200,7,)</f>
        <v>0.66</v>
      </c>
      <c r="I31" s="13">
        <f t="shared" si="1"/>
        <v>375771.07749999996</v>
      </c>
      <c r="J31" s="15">
        <f t="shared" si="2"/>
        <v>0</v>
      </c>
      <c r="K31" s="13">
        <f t="shared" si="3"/>
        <v>25060222.780000031</v>
      </c>
      <c r="L31" s="13" t="str">
        <f t="shared" si="4"/>
        <v>NA</v>
      </c>
      <c r="M31" s="13" t="str">
        <f t="shared" si="5"/>
        <v>NA</v>
      </c>
      <c r="N31" s="179">
        <v>43647</v>
      </c>
      <c r="O31" s="16">
        <f t="shared" si="6"/>
        <v>45839</v>
      </c>
      <c r="P31" s="13">
        <f ca="1">ROUND(C31-(VLOOKUP(A31,INDIRECT('LOCCS Import'!$E$3&amp;"$A$3"):INDIRECT('LOCCS Import'!$E$3&amp;"$O$54"),3,)),2)</f>
        <v>63809.120000000003</v>
      </c>
      <c r="Q31" s="222" t="e">
        <f>#VALUE!</f>
        <v>#VALUE!</v>
      </c>
    </row>
    <row r="32" spans="1:17" x14ac:dyDescent="0.2">
      <c r="A32" s="4" t="s">
        <v>31</v>
      </c>
      <c r="B32" s="13">
        <f>VLOOKUP(A32,'LOCCS Import'!A$19:N$200,2,)</f>
        <v>504504813</v>
      </c>
      <c r="C32" s="13">
        <f>VLOOKUP(A32,'LOCCS Import'!A$19:N$200,3,)</f>
        <v>458533361.48000002</v>
      </c>
      <c r="D32" s="13">
        <f t="shared" si="0"/>
        <v>45971451.519999981</v>
      </c>
      <c r="E32" s="13">
        <f>VLOOKUP(A32,'LOCCS Import'!A$19:N$200,4,)</f>
        <v>11531614.439999999</v>
      </c>
      <c r="F32" s="13">
        <f>VLOOKUP(A32,'LOCCS Import'!A$19:N$200,5,)</f>
        <v>10946097</v>
      </c>
      <c r="G32" s="14">
        <f>VLOOKUP(A32,'LOCCS Import'!A$19:N$200,6,)</f>
        <v>4.2</v>
      </c>
      <c r="H32" s="14">
        <f>VLOOKUP(A32,'LOCCS Import'!A$19:N$200,7,)</f>
        <v>1.05</v>
      </c>
      <c r="I32" s="13">
        <f t="shared" si="1"/>
        <v>960967.87</v>
      </c>
      <c r="J32" s="15">
        <f t="shared" si="2"/>
        <v>6</v>
      </c>
      <c r="K32" s="13">
        <f t="shared" si="3"/>
        <v>40205644.299999982</v>
      </c>
      <c r="L32" s="13">
        <f t="shared" si="4"/>
        <v>4013209.5866666636</v>
      </c>
      <c r="M32" s="13">
        <f t="shared" si="5"/>
        <v>3101034.8366666636</v>
      </c>
      <c r="N32" s="179">
        <v>43831</v>
      </c>
      <c r="O32" s="16">
        <f t="shared" si="6"/>
        <v>46023</v>
      </c>
      <c r="P32" s="13">
        <f ca="1">ROUND(C32-(VLOOKUP(A32,INDIRECT('LOCCS Import'!$E$3&amp;"$A$3"):INDIRECT('LOCCS Import'!$E$3&amp;"$O$54"),3,)),2)</f>
        <v>183627.61</v>
      </c>
      <c r="Q32" s="222" t="e">
        <f>#VALUE!</f>
        <v>#VALUE!</v>
      </c>
    </row>
    <row r="33" spans="1:17" x14ac:dyDescent="0.2">
      <c r="A33" s="4" t="s">
        <v>41</v>
      </c>
      <c r="B33" s="13">
        <f>VLOOKUP(A33,'LOCCS Import'!A$19:N$200,2,)</f>
        <v>1276422533.53</v>
      </c>
      <c r="C33" s="13">
        <f>VLOOKUP(A33,'LOCCS Import'!A$19:N$200,3,)</f>
        <v>1127988965.48</v>
      </c>
      <c r="D33" s="13">
        <f t="shared" si="0"/>
        <v>148433568.04999995</v>
      </c>
      <c r="E33" s="13">
        <f>VLOOKUP(A33,'LOCCS Import'!A$19:N$200,4,)</f>
        <v>41093778.899999999</v>
      </c>
      <c r="F33" s="13">
        <f>VLOOKUP(A33,'LOCCS Import'!A$19:N$200,5,)</f>
        <v>47644860</v>
      </c>
      <c r="G33" s="14">
        <f>VLOOKUP(A33,'LOCCS Import'!A$19:N$200,6,)</f>
        <v>3.12</v>
      </c>
      <c r="H33" s="14">
        <f>VLOOKUP(A33,'LOCCS Import'!A$19:N$200,7,)</f>
        <v>0.86</v>
      </c>
      <c r="I33" s="13">
        <f t="shared" si="1"/>
        <v>3424481.5749999997</v>
      </c>
      <c r="J33" s="15">
        <f t="shared" si="2"/>
        <v>6</v>
      </c>
      <c r="K33" s="13">
        <f t="shared" si="3"/>
        <v>127886678.59999995</v>
      </c>
      <c r="L33" s="13">
        <f t="shared" si="4"/>
        <v>8857308.0083333254</v>
      </c>
      <c r="M33" s="13">
        <f t="shared" si="5"/>
        <v>4886903.0083333254</v>
      </c>
      <c r="N33" s="179">
        <v>43831</v>
      </c>
      <c r="O33" s="16">
        <f t="shared" si="6"/>
        <v>46023</v>
      </c>
      <c r="P33" s="13">
        <f ca="1">ROUND(C33-(VLOOKUP(A33,INDIRECT('LOCCS Import'!$E$3&amp;"$A$3"):INDIRECT('LOCCS Import'!$E$3&amp;"$O$54"),3,)),2)</f>
        <v>2563521.9900000002</v>
      </c>
      <c r="Q33" s="222" t="e">
        <f>#VALUE!</f>
        <v>#VALUE!</v>
      </c>
    </row>
    <row r="34" spans="1:17" x14ac:dyDescent="0.2">
      <c r="A34" s="4" t="s">
        <v>21</v>
      </c>
      <c r="B34" s="13">
        <f>VLOOKUP(A34,'LOCCS Import'!A$19:N$200,2,)</f>
        <v>1834758280.3599999</v>
      </c>
      <c r="C34" s="13">
        <f>VLOOKUP(A34,'LOCCS Import'!A$19:N$200,3,)</f>
        <v>1587891455.1800001</v>
      </c>
      <c r="D34" s="13">
        <f t="shared" si="0"/>
        <v>246866825.17999983</v>
      </c>
      <c r="E34" s="13">
        <f>VLOOKUP(A34,'LOCCS Import'!A$19:N$200,4,)</f>
        <v>43607005.939999998</v>
      </c>
      <c r="F34" s="13">
        <f>VLOOKUP(A34,'LOCCS Import'!A$19:N$200,5,)</f>
        <v>46162390</v>
      </c>
      <c r="G34" s="14">
        <f>VLOOKUP(A34,'LOCCS Import'!A$19:N$200,6,)</f>
        <v>5.35</v>
      </c>
      <c r="H34" s="14">
        <f>VLOOKUP(A34,'LOCCS Import'!A$19:N$200,7,)</f>
        <v>0.94</v>
      </c>
      <c r="I34" s="13">
        <f t="shared" si="1"/>
        <v>3633917.1616666666</v>
      </c>
      <c r="J34" s="15">
        <f t="shared" si="2"/>
        <v>6</v>
      </c>
      <c r="K34" s="13">
        <f t="shared" si="3"/>
        <v>225063322.20999983</v>
      </c>
      <c r="L34" s="13">
        <f t="shared" si="4"/>
        <v>25757007.529999971</v>
      </c>
      <c r="M34" s="13">
        <f t="shared" si="5"/>
        <v>21910141.696666639</v>
      </c>
      <c r="N34" s="179">
        <v>43831</v>
      </c>
      <c r="O34" s="16">
        <f t="shared" si="6"/>
        <v>46023</v>
      </c>
      <c r="P34" s="13">
        <f ca="1">ROUND(C34-(VLOOKUP(A34,INDIRECT('LOCCS Import'!$E$3&amp;"$A$3"):INDIRECT('LOCCS Import'!$E$3&amp;"$O$54"),3,)),2)</f>
        <v>4813617.58</v>
      </c>
      <c r="Q34" s="222" t="e">
        <f>#VALUE!</f>
        <v>#VALUE!</v>
      </c>
    </row>
    <row r="35" spans="1:17" x14ac:dyDescent="0.2">
      <c r="A35" s="4" t="s">
        <v>37</v>
      </c>
      <c r="B35" s="13">
        <f>VLOOKUP(A35,'LOCCS Import'!A$19:N$200,2,)</f>
        <v>190999038.36000001</v>
      </c>
      <c r="C35" s="13">
        <f>VLOOKUP(A35,'LOCCS Import'!A$19:N$200,3,)</f>
        <v>179600132.06999999</v>
      </c>
      <c r="D35" s="13">
        <f t="shared" ref="D35:D53" si="7">B35-C35</f>
        <v>11398906.290000021</v>
      </c>
      <c r="E35" s="13">
        <f>VLOOKUP(A35,'LOCCS Import'!A$19:N$200,4,)</f>
        <v>5777246.7699999996</v>
      </c>
      <c r="F35" s="13">
        <f>VLOOKUP(A35,'LOCCS Import'!A$19:N$200,5,)</f>
        <v>3551615</v>
      </c>
      <c r="G35" s="14">
        <f>VLOOKUP(A35,'LOCCS Import'!A$19:N$200,6,)</f>
        <v>3.21</v>
      </c>
      <c r="H35" s="14">
        <f>VLOOKUP(A35,'LOCCS Import'!A$19:N$200,7,)</f>
        <v>1.63</v>
      </c>
      <c r="I35" s="13">
        <f t="shared" ref="I35:I53" si="8">E35/12</f>
        <v>481437.23083333328</v>
      </c>
      <c r="J35" s="15">
        <f t="shared" ref="J35:J52" si="9">IF(((MONTH(O35))&lt;=(MONTH($B$1))),((MONTH(O35)-3)+12-(MONTH($B$1))),IF(((MONTH(O35)-3)-(MONTH($B$1)))&gt;0,(MONTH(O35)-3)-(MONTH($B$1)),0))</f>
        <v>0</v>
      </c>
      <c r="K35" s="13">
        <f t="shared" ref="K35:K52" si="10">IF(J35&lt;0,"NA",D35-(J35*I35))</f>
        <v>11398906.290000021</v>
      </c>
      <c r="L35" s="13" t="str">
        <f t="shared" ref="L35:L52" si="11">IF(K35&lt;F35*2,"on track",IF(J35&lt;1,"NA",(D35-F35*2)/J35))</f>
        <v>NA</v>
      </c>
      <c r="M35" s="13" t="str">
        <f t="shared" ref="M35:M52" si="12">IF(K35&lt;F35*2.5,"on track",IF(J35&lt;1,"NA",(D35-F35*2.5)/J35))</f>
        <v>NA</v>
      </c>
      <c r="N35" s="179">
        <v>43647</v>
      </c>
      <c r="O35" s="16">
        <f t="shared" ref="O35:O52" si="13">DATE(IF(MONTH($B$1)&lt;MONTH(N35),YEAR($B$1)-1,YEAR($B$1)),MONTH(N35),1)</f>
        <v>45839</v>
      </c>
      <c r="P35" s="13">
        <f ca="1">ROUND(C35-(VLOOKUP(A35,INDIRECT('LOCCS Import'!$E$3&amp;"$A$3"):INDIRECT('LOCCS Import'!$E$3&amp;"$O$54"),3,)),2)</f>
        <v>491180.83</v>
      </c>
      <c r="Q35" s="222" t="e">
        <f>#VALUE!</f>
        <v>#VALUE!</v>
      </c>
    </row>
    <row r="36" spans="1:17" x14ac:dyDescent="0.2">
      <c r="A36" s="4" t="s">
        <v>66</v>
      </c>
      <c r="B36" s="13">
        <f>VLOOKUP(A36,'LOCCS Import'!A$19:N$200,2,)</f>
        <v>1985336227.8699999</v>
      </c>
      <c r="C36" s="13">
        <f>VLOOKUP(A36,'LOCCS Import'!A$19:N$200,3,)</f>
        <v>1894004960.3399999</v>
      </c>
      <c r="D36" s="13">
        <f t="shared" si="7"/>
        <v>91331267.529999971</v>
      </c>
      <c r="E36" s="13">
        <f>VLOOKUP(A36,'LOCCS Import'!A$19:N$200,4,)</f>
        <v>42823110.950000003</v>
      </c>
      <c r="F36" s="13">
        <f>VLOOKUP(A36,'LOCCS Import'!A$19:N$200,5,)</f>
        <v>45588088</v>
      </c>
      <c r="G36" s="14">
        <f>VLOOKUP(A36,'LOCCS Import'!A$19:N$200,6,)</f>
        <v>2</v>
      </c>
      <c r="H36" s="14">
        <f>VLOOKUP(A36,'LOCCS Import'!A$19:N$200,7,)</f>
        <v>0.94</v>
      </c>
      <c r="I36" s="13">
        <f t="shared" si="8"/>
        <v>3568592.5791666671</v>
      </c>
      <c r="J36" s="15">
        <f t="shared" si="9"/>
        <v>0</v>
      </c>
      <c r="K36" s="13">
        <f t="shared" si="10"/>
        <v>91331267.529999971</v>
      </c>
      <c r="L36" s="13" t="str">
        <f t="shared" si="11"/>
        <v>NA</v>
      </c>
      <c r="M36" s="13" t="str">
        <f t="shared" si="12"/>
        <v>on track</v>
      </c>
      <c r="N36" s="179">
        <v>43647</v>
      </c>
      <c r="O36" s="16">
        <f t="shared" si="13"/>
        <v>45839</v>
      </c>
      <c r="P36" s="13">
        <f ca="1">ROUND(C36-(VLOOKUP(A36,INDIRECT('LOCCS Import'!$E$3&amp;"$A$3"):INDIRECT('LOCCS Import'!$E$3&amp;"$O$54"),3,)),2)</f>
        <v>2461115.87</v>
      </c>
      <c r="Q36" s="222" t="e">
        <f>#VALUE!</f>
        <v>#VALUE!</v>
      </c>
    </row>
    <row r="37" spans="1:17" x14ac:dyDescent="0.2">
      <c r="A37" s="4" t="s">
        <v>62</v>
      </c>
      <c r="B37" s="13">
        <f>VLOOKUP(A37,'LOCCS Import'!A$19:N$200,2,)</f>
        <v>699328036.19000006</v>
      </c>
      <c r="C37" s="13">
        <f>VLOOKUP(A37,'LOCCS Import'!A$19:N$200,3,)</f>
        <v>669768620.42999995</v>
      </c>
      <c r="D37" s="13">
        <f t="shared" si="7"/>
        <v>29559415.76000011</v>
      </c>
      <c r="E37" s="13">
        <f>VLOOKUP(A37,'LOCCS Import'!A$19:N$200,4,)</f>
        <v>12098860.640000001</v>
      </c>
      <c r="F37" s="13">
        <f>VLOOKUP(A37,'LOCCS Import'!A$19:N$200,5,)</f>
        <v>14024709</v>
      </c>
      <c r="G37" s="14">
        <f>VLOOKUP(A37,'LOCCS Import'!A$19:N$200,6,)</f>
        <v>2.11</v>
      </c>
      <c r="H37" s="14">
        <f>VLOOKUP(A37,'LOCCS Import'!A$19:N$200,7,)</f>
        <v>0.86</v>
      </c>
      <c r="I37" s="13">
        <f t="shared" si="8"/>
        <v>1008238.3866666667</v>
      </c>
      <c r="J37" s="15">
        <f t="shared" si="9"/>
        <v>9</v>
      </c>
      <c r="K37" s="13">
        <f t="shared" si="10"/>
        <v>20485270.280000109</v>
      </c>
      <c r="L37" s="13" t="str">
        <f t="shared" si="11"/>
        <v>on track</v>
      </c>
      <c r="M37" s="13" t="str">
        <f t="shared" si="12"/>
        <v>on track</v>
      </c>
      <c r="N37" s="179">
        <v>43922</v>
      </c>
      <c r="O37" s="16">
        <f t="shared" si="13"/>
        <v>46113</v>
      </c>
      <c r="P37" s="13">
        <f ca="1">ROUND(C37-(VLOOKUP(A37,INDIRECT('LOCCS Import'!$E$3&amp;"$A$3"):INDIRECT('LOCCS Import'!$E$3&amp;"$O$54"),3,)),2)</f>
        <v>221133.68</v>
      </c>
      <c r="Q37" s="222" t="e">
        <f>#VALUE!</f>
        <v>#VALUE!</v>
      </c>
    </row>
    <row r="38" spans="1:17" x14ac:dyDescent="0.2">
      <c r="A38" s="4" t="s">
        <v>48</v>
      </c>
      <c r="B38" s="13">
        <f>VLOOKUP(A38,'LOCCS Import'!A$19:N$200,2,)</f>
        <v>557171086.30999994</v>
      </c>
      <c r="C38" s="13">
        <f>VLOOKUP(A38,'LOCCS Import'!A$19:N$200,3,)</f>
        <v>532623973.91000003</v>
      </c>
      <c r="D38" s="13">
        <f t="shared" si="7"/>
        <v>24547112.399999917</v>
      </c>
      <c r="E38" s="13">
        <f>VLOOKUP(A38,'LOCCS Import'!A$19:N$200,4,)</f>
        <v>15862495.1</v>
      </c>
      <c r="F38" s="13">
        <f>VLOOKUP(A38,'LOCCS Import'!A$19:N$200,5,)</f>
        <v>11761407</v>
      </c>
      <c r="G38" s="14">
        <f>VLOOKUP(A38,'LOCCS Import'!A$19:N$200,6,)</f>
        <v>2.09</v>
      </c>
      <c r="H38" s="14">
        <f>VLOOKUP(A38,'LOCCS Import'!A$19:N$200,7,)</f>
        <v>1.35</v>
      </c>
      <c r="I38" s="13">
        <f t="shared" si="8"/>
        <v>1321874.5916666666</v>
      </c>
      <c r="J38" s="15">
        <f t="shared" si="9"/>
        <v>6</v>
      </c>
      <c r="K38" s="13">
        <f t="shared" si="10"/>
        <v>16615864.849999918</v>
      </c>
      <c r="L38" s="13" t="str">
        <f t="shared" si="11"/>
        <v>on track</v>
      </c>
      <c r="M38" s="13" t="str">
        <f t="shared" si="12"/>
        <v>on track</v>
      </c>
      <c r="N38" s="179">
        <v>43831</v>
      </c>
      <c r="O38" s="16">
        <f t="shared" si="13"/>
        <v>46023</v>
      </c>
      <c r="P38" s="13">
        <f ca="1">ROUND(C38-(VLOOKUP(A38,INDIRECT('LOCCS Import'!$E$3&amp;"$A$3"):INDIRECT('LOCCS Import'!$E$3&amp;"$O$54"),3,)),2)</f>
        <v>190500</v>
      </c>
      <c r="Q38" s="222" t="e">
        <f>#VALUE!</f>
        <v>#VALUE!</v>
      </c>
    </row>
    <row r="39" spans="1:17" x14ac:dyDescent="0.2">
      <c r="A39" s="4" t="s">
        <v>45</v>
      </c>
      <c r="B39" s="13">
        <f>VLOOKUP(A39,'LOCCS Import'!A$19:N$200,2,)</f>
        <v>2041893568.29</v>
      </c>
      <c r="C39" s="13">
        <f>VLOOKUP(A39,'LOCCS Import'!A$19:N$200,3,)</f>
        <v>1917118641.9400001</v>
      </c>
      <c r="D39" s="13">
        <f t="shared" si="7"/>
        <v>124774926.3499999</v>
      </c>
      <c r="E39" s="13">
        <f>VLOOKUP(A39,'LOCCS Import'!A$19:N$200,4,)</f>
        <v>40904618.009999998</v>
      </c>
      <c r="F39" s="13">
        <f>VLOOKUP(A39,'LOCCS Import'!A$19:N$200,5,)</f>
        <v>40828727</v>
      </c>
      <c r="G39" s="14">
        <f>VLOOKUP(A39,'LOCCS Import'!A$19:N$200,6,)</f>
        <v>3.06</v>
      </c>
      <c r="H39" s="14">
        <f>VLOOKUP(A39,'LOCCS Import'!A$19:N$200,7,)</f>
        <v>1</v>
      </c>
      <c r="I39" s="13">
        <f t="shared" si="8"/>
        <v>3408718.1675</v>
      </c>
      <c r="J39" s="15">
        <f t="shared" si="9"/>
        <v>6</v>
      </c>
      <c r="K39" s="13">
        <f t="shared" si="10"/>
        <v>104322617.34499991</v>
      </c>
      <c r="L39" s="13">
        <f t="shared" si="11"/>
        <v>7186245.3916666508</v>
      </c>
      <c r="M39" s="13">
        <f t="shared" si="12"/>
        <v>3783851.4749999843</v>
      </c>
      <c r="N39" s="179">
        <v>43831</v>
      </c>
      <c r="O39" s="16">
        <f t="shared" si="13"/>
        <v>46023</v>
      </c>
      <c r="P39" s="13">
        <f ca="1">ROUND(C39-(VLOOKUP(A39,INDIRECT('LOCCS Import'!$E$3&amp;"$A$3"):INDIRECT('LOCCS Import'!$E$3&amp;"$O$54"),3,)),2)</f>
        <v>2350149.79</v>
      </c>
      <c r="Q39" s="222" t="e">
        <f>#VALUE!</f>
        <v>#VALUE!</v>
      </c>
    </row>
    <row r="40" spans="1:17" x14ac:dyDescent="0.2">
      <c r="A40" s="4" t="s">
        <v>28</v>
      </c>
      <c r="B40" s="13">
        <f>VLOOKUP(A40,'LOCCS Import'!A$19:N$200,2,)</f>
        <v>1966895481</v>
      </c>
      <c r="C40" s="13">
        <f>VLOOKUP(A40,'LOCCS Import'!A$19:N$200,3,)</f>
        <v>1878382798.6300001</v>
      </c>
      <c r="D40" s="13">
        <f t="shared" si="7"/>
        <v>88512682.369999886</v>
      </c>
      <c r="E40" s="13">
        <f>VLOOKUP(A40,'LOCCS Import'!A$19:N$200,4,)</f>
        <v>21499986.25</v>
      </c>
      <c r="F40" s="13">
        <f>VLOOKUP(A40,'LOCCS Import'!A$19:N$200,5,)</f>
        <v>21788490</v>
      </c>
      <c r="G40" s="14">
        <f>VLOOKUP(A40,'LOCCS Import'!A$19:N$200,6,)</f>
        <v>4.0599999999999996</v>
      </c>
      <c r="H40" s="14">
        <f>VLOOKUP(A40,'LOCCS Import'!A$19:N$200,7,)</f>
        <v>0.99</v>
      </c>
      <c r="I40" s="13">
        <f t="shared" si="8"/>
        <v>1791665.5208333333</v>
      </c>
      <c r="J40" s="15">
        <f t="shared" si="9"/>
        <v>0</v>
      </c>
      <c r="K40" s="13">
        <f t="shared" si="10"/>
        <v>88512682.369999886</v>
      </c>
      <c r="L40" s="13" t="str">
        <f t="shared" si="11"/>
        <v>NA</v>
      </c>
      <c r="M40" s="13" t="str">
        <f t="shared" si="12"/>
        <v>NA</v>
      </c>
      <c r="N40" s="179">
        <v>43647</v>
      </c>
      <c r="O40" s="16">
        <f t="shared" si="13"/>
        <v>45839</v>
      </c>
      <c r="P40" s="13">
        <f ca="1">ROUND(C40-(VLOOKUP(A40,INDIRECT('LOCCS Import'!$E$3&amp;"$A$3"):INDIRECT('LOCCS Import'!$E$3&amp;"$O$54"),3,)),2)</f>
        <v>1438686.42</v>
      </c>
      <c r="Q40" s="222" t="e">
        <f>#VALUE!</f>
        <v>#VALUE!</v>
      </c>
    </row>
    <row r="41" spans="1:17" x14ac:dyDescent="0.2">
      <c r="A41" s="4" t="s">
        <v>40</v>
      </c>
      <c r="B41" s="13">
        <f>VLOOKUP(A41,'LOCCS Import'!A$19:N$200,2,)</f>
        <v>208940278.25</v>
      </c>
      <c r="C41" s="13">
        <f>VLOOKUP(A41,'LOCCS Import'!A$19:N$200,3,)</f>
        <v>187649626.08000001</v>
      </c>
      <c r="D41" s="13">
        <f t="shared" si="7"/>
        <v>21290652.169999987</v>
      </c>
      <c r="E41" s="13">
        <f>VLOOKUP(A41,'LOCCS Import'!A$19:N$200,4,)</f>
        <v>7742212.4299999997</v>
      </c>
      <c r="F41" s="13">
        <f>VLOOKUP(A41,'LOCCS Import'!A$19:N$200,5,)</f>
        <v>5755637</v>
      </c>
      <c r="G41" s="14">
        <f>VLOOKUP(A41,'LOCCS Import'!A$19:N$200,6,)</f>
        <v>3.7</v>
      </c>
      <c r="H41" s="14">
        <f>VLOOKUP(A41,'LOCCS Import'!A$19:N$200,7,)</f>
        <v>1.35</v>
      </c>
      <c r="I41" s="13">
        <f t="shared" si="8"/>
        <v>645184.36916666664</v>
      </c>
      <c r="J41" s="15">
        <f t="shared" si="9"/>
        <v>0</v>
      </c>
      <c r="K41" s="13">
        <f t="shared" si="10"/>
        <v>21290652.169999987</v>
      </c>
      <c r="L41" s="13" t="str">
        <f t="shared" si="11"/>
        <v>NA</v>
      </c>
      <c r="M41" s="13" t="str">
        <f t="shared" si="12"/>
        <v>NA</v>
      </c>
      <c r="N41" s="179">
        <v>43647</v>
      </c>
      <c r="O41" s="16">
        <f t="shared" si="13"/>
        <v>45839</v>
      </c>
      <c r="P41" s="13">
        <f ca="1">ROUND(C41-(VLOOKUP(A41,INDIRECT('LOCCS Import'!$E$3&amp;"$A$3"):INDIRECT('LOCCS Import'!$E$3&amp;"$O$54"),3,)),2)</f>
        <v>0</v>
      </c>
      <c r="Q41" s="222" t="e">
        <f>#VALUE!</f>
        <v>#VALUE!</v>
      </c>
    </row>
    <row r="42" spans="1:17" x14ac:dyDescent="0.2">
      <c r="A42" s="4" t="s">
        <v>30</v>
      </c>
      <c r="B42" s="13">
        <f>VLOOKUP(A42,'LOCCS Import'!A$19:N$200,2,)</f>
        <v>1042589157.45</v>
      </c>
      <c r="C42" s="13">
        <f>VLOOKUP(A42,'LOCCS Import'!A$19:N$200,3,)</f>
        <v>970890377.20000005</v>
      </c>
      <c r="D42" s="13">
        <f t="shared" si="7"/>
        <v>71698780.25</v>
      </c>
      <c r="E42" s="13">
        <f>VLOOKUP(A42,'LOCCS Import'!A$19:N$200,4,)</f>
        <v>19832109.16</v>
      </c>
      <c r="F42" s="13">
        <f>VLOOKUP(A42,'LOCCS Import'!A$19:N$200,5,)</f>
        <v>20158365</v>
      </c>
      <c r="G42" s="14">
        <f>VLOOKUP(A42,'LOCCS Import'!A$19:N$200,6,)</f>
        <v>3.56</v>
      </c>
      <c r="H42" s="14">
        <f>VLOOKUP(A42,'LOCCS Import'!A$19:N$200,7,)</f>
        <v>0.98</v>
      </c>
      <c r="I42" s="13">
        <f t="shared" si="8"/>
        <v>1652675.7633333334</v>
      </c>
      <c r="J42" s="15">
        <f t="shared" si="9"/>
        <v>9</v>
      </c>
      <c r="K42" s="13">
        <f t="shared" si="10"/>
        <v>56824698.379999995</v>
      </c>
      <c r="L42" s="13">
        <f t="shared" si="11"/>
        <v>3486894.472222222</v>
      </c>
      <c r="M42" s="13">
        <f t="shared" si="12"/>
        <v>2366985.3055555555</v>
      </c>
      <c r="N42" s="179">
        <v>43922</v>
      </c>
      <c r="O42" s="16">
        <f t="shared" si="13"/>
        <v>46113</v>
      </c>
      <c r="P42" s="13">
        <f ca="1">ROUND(C42-(VLOOKUP(A42,INDIRECT('LOCCS Import'!$E$3&amp;"$A$3"):INDIRECT('LOCCS Import'!$E$3&amp;"$O$54"),3,)),2)</f>
        <v>1528789</v>
      </c>
      <c r="Q42" s="222" t="e">
        <f>#VALUE!</f>
        <v>#VALUE!</v>
      </c>
    </row>
    <row r="43" spans="1:17" x14ac:dyDescent="0.2">
      <c r="A43" s="4" t="s">
        <v>43</v>
      </c>
      <c r="B43" s="13">
        <f>VLOOKUP(A43,'LOCCS Import'!A$19:N$200,2,)</f>
        <v>259883413</v>
      </c>
      <c r="C43" s="13">
        <f>VLOOKUP(A43,'LOCCS Import'!A$19:N$200,3,)</f>
        <v>243099732.75</v>
      </c>
      <c r="D43" s="13">
        <f t="shared" si="7"/>
        <v>16783680.25</v>
      </c>
      <c r="E43" s="13">
        <f>VLOOKUP(A43,'LOCCS Import'!A$19:N$200,4,)</f>
        <v>7717405.2699999996</v>
      </c>
      <c r="F43" s="13">
        <f>VLOOKUP(A43,'LOCCS Import'!A$19:N$200,5,)</f>
        <v>5643956</v>
      </c>
      <c r="G43" s="14">
        <f>VLOOKUP(A43,'LOCCS Import'!A$19:N$200,6,)</f>
        <v>2.97</v>
      </c>
      <c r="H43" s="14">
        <f>VLOOKUP(A43,'LOCCS Import'!A$19:N$200,7,)</f>
        <v>1.37</v>
      </c>
      <c r="I43" s="13">
        <f t="shared" si="8"/>
        <v>643117.10583333333</v>
      </c>
      <c r="J43" s="15">
        <f t="shared" si="9"/>
        <v>6</v>
      </c>
      <c r="K43" s="13">
        <f t="shared" si="10"/>
        <v>12924977.615</v>
      </c>
      <c r="L43" s="13">
        <f t="shared" si="11"/>
        <v>915961.375</v>
      </c>
      <c r="M43" s="13" t="str">
        <f t="shared" si="12"/>
        <v>on track</v>
      </c>
      <c r="N43" s="179">
        <v>43831</v>
      </c>
      <c r="O43" s="16">
        <f t="shared" si="13"/>
        <v>46023</v>
      </c>
      <c r="P43" s="13">
        <f ca="1">ROUND(C43-(VLOOKUP(A43,INDIRECT('LOCCS Import'!$E$3&amp;"$A$3"):INDIRECT('LOCCS Import'!$E$3&amp;"$O$54"),3,)),2)</f>
        <v>0</v>
      </c>
      <c r="Q43" s="222" t="e">
        <f>#VALUE!</f>
        <v>#VALUE!</v>
      </c>
    </row>
    <row r="44" spans="1:17" x14ac:dyDescent="0.2">
      <c r="A44" s="4" t="s">
        <v>56</v>
      </c>
      <c r="B44" s="13">
        <f>VLOOKUP(A44,'LOCCS Import'!A$19:N$200,2,)</f>
        <v>1182377479</v>
      </c>
      <c r="C44" s="13">
        <f>VLOOKUP(A44,'LOCCS Import'!A$19:N$200,3,)</f>
        <v>1105588425</v>
      </c>
      <c r="D44" s="13">
        <f t="shared" si="7"/>
        <v>76789054</v>
      </c>
      <c r="E44" s="13">
        <f>VLOOKUP(A44,'LOCCS Import'!A$19:N$200,4,)</f>
        <v>23583511.420000002</v>
      </c>
      <c r="F44" s="13">
        <f>VLOOKUP(A44,'LOCCS Import'!A$19:N$200,5,)</f>
        <v>27472066</v>
      </c>
      <c r="G44" s="14">
        <f>VLOOKUP(A44,'LOCCS Import'!A$19:N$200,6,)</f>
        <v>2.8</v>
      </c>
      <c r="H44" s="14">
        <f>VLOOKUP(A44,'LOCCS Import'!A$19:N$200,7,)</f>
        <v>0.86</v>
      </c>
      <c r="I44" s="13">
        <f t="shared" si="8"/>
        <v>1965292.6183333334</v>
      </c>
      <c r="J44" s="15">
        <f t="shared" si="9"/>
        <v>0</v>
      </c>
      <c r="K44" s="13">
        <f t="shared" si="10"/>
        <v>76789054</v>
      </c>
      <c r="L44" s="13" t="str">
        <f t="shared" si="11"/>
        <v>NA</v>
      </c>
      <c r="M44" s="13" t="str">
        <f t="shared" si="12"/>
        <v>NA</v>
      </c>
      <c r="N44" s="179">
        <v>43647</v>
      </c>
      <c r="O44" s="16">
        <f t="shared" si="13"/>
        <v>45839</v>
      </c>
      <c r="P44" s="13">
        <f ca="1">ROUND(C44-(VLOOKUP(A44,INDIRECT('LOCCS Import'!$E$3&amp;"$A$3"):INDIRECT('LOCCS Import'!$E$3&amp;"$O$54"),3,)),2)</f>
        <v>3944235.13</v>
      </c>
      <c r="Q44" s="222" t="e">
        <f>#VALUE!</f>
        <v>#VALUE!</v>
      </c>
    </row>
    <row r="45" spans="1:17" x14ac:dyDescent="0.2">
      <c r="A45" s="4" t="s">
        <v>53</v>
      </c>
      <c r="B45" s="13">
        <f>VLOOKUP(A45,'LOCCS Import'!A$19:N$200,2,)</f>
        <v>2950491414.54</v>
      </c>
      <c r="C45" s="13">
        <f>VLOOKUP(A45,'LOCCS Import'!A$19:N$200,3,)</f>
        <v>2770868203.1599998</v>
      </c>
      <c r="D45" s="13">
        <f t="shared" si="7"/>
        <v>179623211.38000011</v>
      </c>
      <c r="E45" s="13">
        <f>VLOOKUP(A45,'LOCCS Import'!A$19:N$200,4,)</f>
        <v>64890439.719999999</v>
      </c>
      <c r="F45" s="13">
        <f>VLOOKUP(A45,'LOCCS Import'!A$19:N$200,5,)</f>
        <v>71178309</v>
      </c>
      <c r="G45" s="14">
        <f>VLOOKUP(A45,'LOCCS Import'!A$19:N$200,6,)</f>
        <v>2.52</v>
      </c>
      <c r="H45" s="14">
        <f>VLOOKUP(A45,'LOCCS Import'!A$19:N$200,7,)</f>
        <v>0.91</v>
      </c>
      <c r="I45" s="13">
        <f t="shared" si="8"/>
        <v>5407536.6433333335</v>
      </c>
      <c r="J45" s="15">
        <f t="shared" si="9"/>
        <v>2</v>
      </c>
      <c r="K45" s="13">
        <f t="shared" si="10"/>
        <v>168808138.09333345</v>
      </c>
      <c r="L45" s="13">
        <f t="shared" si="11"/>
        <v>18633296.690000057</v>
      </c>
      <c r="M45" s="13" t="str">
        <f t="shared" si="12"/>
        <v>on track</v>
      </c>
      <c r="N45" s="179">
        <v>44075</v>
      </c>
      <c r="O45" s="16">
        <f t="shared" si="13"/>
        <v>45901</v>
      </c>
      <c r="P45" s="13">
        <f ca="1">ROUND(C45-(VLOOKUP(A45,INDIRECT('LOCCS Import'!$E$3&amp;"$A$3"):INDIRECT('LOCCS Import'!$E$3&amp;"$O$54"),3,)),2)</f>
        <v>6912623.9800000004</v>
      </c>
      <c r="Q45" s="222" t="e">
        <f>#VALUE!</f>
        <v>#VALUE!</v>
      </c>
    </row>
    <row r="46" spans="1:17" x14ac:dyDescent="0.2">
      <c r="A46" s="4" t="s">
        <v>69</v>
      </c>
      <c r="B46" s="13">
        <f>VLOOKUP(A46,'LOCCS Import'!A$19:N$200,2,)</f>
        <v>243764651</v>
      </c>
      <c r="C46" s="13">
        <f>VLOOKUP(A46,'LOCCS Import'!A$19:N$200,3,)</f>
        <v>234765473.88999999</v>
      </c>
      <c r="D46" s="13">
        <f t="shared" si="7"/>
        <v>8999177.1100000143</v>
      </c>
      <c r="E46" s="13">
        <f>VLOOKUP(A46,'LOCCS Import'!A$19:N$200,4,)</f>
        <v>5196117.1900000004</v>
      </c>
      <c r="F46" s="13">
        <f>VLOOKUP(A46,'LOCCS Import'!A$19:N$200,5,)</f>
        <v>5561418</v>
      </c>
      <c r="G46" s="14">
        <f>VLOOKUP(A46,'LOCCS Import'!A$19:N$200,6,)</f>
        <v>1.62</v>
      </c>
      <c r="H46" s="14">
        <f>VLOOKUP(A46,'LOCCS Import'!A$19:N$200,7,)</f>
        <v>0.93</v>
      </c>
      <c r="I46" s="13">
        <f t="shared" si="8"/>
        <v>433009.76583333337</v>
      </c>
      <c r="J46" s="15">
        <f t="shared" si="9"/>
        <v>0</v>
      </c>
      <c r="K46" s="13">
        <f t="shared" si="10"/>
        <v>8999177.1100000143</v>
      </c>
      <c r="L46" s="13" t="str">
        <f t="shared" si="11"/>
        <v>on track</v>
      </c>
      <c r="M46" s="13" t="str">
        <f t="shared" si="12"/>
        <v>on track</v>
      </c>
      <c r="N46" s="179">
        <v>43647</v>
      </c>
      <c r="O46" s="16">
        <f t="shared" si="13"/>
        <v>45839</v>
      </c>
      <c r="P46" s="13">
        <f ca="1">ROUND(C46-(VLOOKUP(A46,INDIRECT('LOCCS Import'!$E$3&amp;"$A$3"):INDIRECT('LOCCS Import'!$E$3&amp;"$O$54"),3,)),2)</f>
        <v>503720.75</v>
      </c>
      <c r="Q46" s="222" t="e">
        <f>#VALUE!</f>
        <v>#VALUE!</v>
      </c>
    </row>
    <row r="47" spans="1:17" x14ac:dyDescent="0.2">
      <c r="A47" s="4" t="s">
        <v>59</v>
      </c>
      <c r="B47" s="13">
        <f>VLOOKUP(A47,'LOCCS Import'!A$19:N$200,2,)</f>
        <v>285086766</v>
      </c>
      <c r="C47" s="13">
        <f>VLOOKUP(A47,'LOCCS Import'!A$19:N$200,3,)</f>
        <v>268263878</v>
      </c>
      <c r="D47" s="13">
        <f t="shared" si="7"/>
        <v>16822888</v>
      </c>
      <c r="E47" s="13">
        <f>VLOOKUP(A47,'LOCCS Import'!A$19:N$200,4,)</f>
        <v>5906470.9699999997</v>
      </c>
      <c r="F47" s="13">
        <f>VLOOKUP(A47,'LOCCS Import'!A$19:N$200,5,)</f>
        <v>7485780</v>
      </c>
      <c r="G47" s="14">
        <f>VLOOKUP(A47,'LOCCS Import'!A$19:N$200,6,)</f>
        <v>2.25</v>
      </c>
      <c r="H47" s="14">
        <f>VLOOKUP(A47,'LOCCS Import'!A$19:N$200,7,)</f>
        <v>0.79</v>
      </c>
      <c r="I47" s="13">
        <f t="shared" si="8"/>
        <v>492205.91416666663</v>
      </c>
      <c r="J47" s="15">
        <f t="shared" si="9"/>
        <v>0</v>
      </c>
      <c r="K47" s="13">
        <f t="shared" si="10"/>
        <v>16822888</v>
      </c>
      <c r="L47" s="13" t="str">
        <f t="shared" si="11"/>
        <v>NA</v>
      </c>
      <c r="M47" s="13" t="str">
        <f t="shared" si="12"/>
        <v>on track</v>
      </c>
      <c r="N47" s="179">
        <v>43647</v>
      </c>
      <c r="O47" s="16">
        <f t="shared" si="13"/>
        <v>45839</v>
      </c>
      <c r="P47" s="13">
        <f ca="1">ROUND(C47-(VLOOKUP(A47,INDIRECT('LOCCS Import'!$E$3&amp;"$A$3"):INDIRECT('LOCCS Import'!$E$3&amp;"$O$54"),3,)),2)</f>
        <v>924245</v>
      </c>
      <c r="Q47" s="222" t="e">
        <f>#VALUE!</f>
        <v>#VALUE!</v>
      </c>
    </row>
    <row r="48" spans="1:17" x14ac:dyDescent="0.2">
      <c r="A48" s="4" t="s">
        <v>35</v>
      </c>
      <c r="B48" s="13">
        <f>VLOOKUP(A48,'LOCCS Import'!A$19:N$200,2,)</f>
        <v>813673223</v>
      </c>
      <c r="C48" s="13">
        <f>VLOOKUP(A48,'LOCCS Import'!A$19:N$200,3,)</f>
        <v>735066989.62</v>
      </c>
      <c r="D48" s="13">
        <f t="shared" si="7"/>
        <v>78606233.379999995</v>
      </c>
      <c r="E48" s="13">
        <f>VLOOKUP(A48,'LOCCS Import'!A$19:N$200,4,)</f>
        <v>12345257.49</v>
      </c>
      <c r="F48" s="13">
        <f>VLOOKUP(A48,'LOCCS Import'!A$19:N$200,5,)</f>
        <v>19453948</v>
      </c>
      <c r="G48" s="14">
        <f>VLOOKUP(A48,'LOCCS Import'!A$19:N$200,6,)</f>
        <v>4.04</v>
      </c>
      <c r="H48" s="14">
        <f>VLOOKUP(A48,'LOCCS Import'!A$19:N$200,7,)</f>
        <v>0.63</v>
      </c>
      <c r="I48" s="13">
        <f t="shared" si="8"/>
        <v>1028771.4575</v>
      </c>
      <c r="J48" s="15">
        <f t="shared" si="9"/>
        <v>0</v>
      </c>
      <c r="K48" s="13">
        <f t="shared" si="10"/>
        <v>78606233.379999995</v>
      </c>
      <c r="L48" s="13" t="str">
        <f t="shared" si="11"/>
        <v>NA</v>
      </c>
      <c r="M48" s="13" t="str">
        <f t="shared" si="12"/>
        <v>NA</v>
      </c>
      <c r="N48" s="179">
        <v>43647</v>
      </c>
      <c r="O48" s="16">
        <f t="shared" si="13"/>
        <v>45839</v>
      </c>
      <c r="P48" s="13">
        <f ca="1">ROUND(C48-(VLOOKUP(A48,INDIRECT('LOCCS Import'!$E$3&amp;"$A$3"):INDIRECT('LOCCS Import'!$E$3&amp;"$O$54"),3,)),2)</f>
        <v>1748771.46</v>
      </c>
      <c r="Q48" s="222" t="e">
        <f>#VALUE!</f>
        <v>#VALUE!</v>
      </c>
    </row>
    <row r="49" spans="1:17" x14ac:dyDescent="0.2">
      <c r="A49" s="4" t="s">
        <v>52</v>
      </c>
      <c r="B49" s="13">
        <f>VLOOKUP(A49,'LOCCS Import'!A$19:N$200,2,)</f>
        <v>535148479</v>
      </c>
      <c r="C49" s="13">
        <f>VLOOKUP(A49,'LOCCS Import'!A$19:N$200,3,)</f>
        <v>500188900.70999998</v>
      </c>
      <c r="D49" s="13">
        <f t="shared" si="7"/>
        <v>34959578.290000021</v>
      </c>
      <c r="E49" s="13">
        <f>VLOOKUP(A49,'LOCCS Import'!A$19:N$200,4,)</f>
        <v>10895871.939999999</v>
      </c>
      <c r="F49" s="13">
        <f>VLOOKUP(A49,'LOCCS Import'!A$19:N$200,5,)</f>
        <v>13099382</v>
      </c>
      <c r="G49" s="14">
        <f>VLOOKUP(A49,'LOCCS Import'!A$19:N$200,6,)</f>
        <v>2.67</v>
      </c>
      <c r="H49" s="14">
        <f>VLOOKUP(A49,'LOCCS Import'!A$19:N$200,7,)</f>
        <v>0.83</v>
      </c>
      <c r="I49" s="13">
        <f t="shared" si="8"/>
        <v>907989.32833333325</v>
      </c>
      <c r="J49" s="15">
        <f t="shared" si="9"/>
        <v>0</v>
      </c>
      <c r="K49" s="13">
        <f t="shared" si="10"/>
        <v>34959578.290000021</v>
      </c>
      <c r="L49" s="13" t="str">
        <f t="shared" si="11"/>
        <v>NA</v>
      </c>
      <c r="M49" s="13" t="str">
        <f t="shared" si="12"/>
        <v>NA</v>
      </c>
      <c r="N49" s="179">
        <v>43647</v>
      </c>
      <c r="O49" s="16">
        <f t="shared" si="13"/>
        <v>45839</v>
      </c>
      <c r="P49" s="13">
        <f ca="1">ROUND(C49-(VLOOKUP(A49,INDIRECT('LOCCS Import'!$E$3&amp;"$A$3"):INDIRECT('LOCCS Import'!$E$3&amp;"$O$54"),3,)),2)</f>
        <v>1089290.42</v>
      </c>
      <c r="Q49" s="222" t="e">
        <f>#VALUE!</f>
        <v>#VALUE!</v>
      </c>
    </row>
    <row r="50" spans="1:17" x14ac:dyDescent="0.2">
      <c r="A50" s="4" t="s">
        <v>22</v>
      </c>
      <c r="B50" s="13">
        <f>VLOOKUP(A50,'LOCCS Import'!A$19:N$200,2,)</f>
        <v>722479384.32000005</v>
      </c>
      <c r="C50" s="13">
        <f>VLOOKUP(A50,'LOCCS Import'!A$19:N$200,3,)</f>
        <v>646750834.75</v>
      </c>
      <c r="D50" s="13">
        <f t="shared" si="7"/>
        <v>75728549.570000052</v>
      </c>
      <c r="E50" s="13">
        <f>VLOOKUP(A50,'LOCCS Import'!A$19:N$200,4,)</f>
        <v>10779780.02</v>
      </c>
      <c r="F50" s="13">
        <f>VLOOKUP(A50,'LOCCS Import'!A$19:N$200,5,)</f>
        <v>13783001</v>
      </c>
      <c r="G50" s="14">
        <f>VLOOKUP(A50,'LOCCS Import'!A$19:N$200,6,)</f>
        <v>5.49</v>
      </c>
      <c r="H50" s="14">
        <f>VLOOKUP(A50,'LOCCS Import'!A$19:N$200,7,)</f>
        <v>0.78</v>
      </c>
      <c r="I50" s="13">
        <f t="shared" si="8"/>
        <v>898315.00166666659</v>
      </c>
      <c r="J50" s="15">
        <f t="shared" si="9"/>
        <v>0</v>
      </c>
      <c r="K50" s="13">
        <f t="shared" si="10"/>
        <v>75728549.570000052</v>
      </c>
      <c r="L50" s="13" t="str">
        <f t="shared" si="11"/>
        <v>NA</v>
      </c>
      <c r="M50" s="13" t="str">
        <f t="shared" si="12"/>
        <v>NA</v>
      </c>
      <c r="N50" s="179">
        <v>43647</v>
      </c>
      <c r="O50" s="16">
        <f t="shared" si="13"/>
        <v>45839</v>
      </c>
      <c r="P50" s="13">
        <f ca="1">ROUND(C50-(VLOOKUP(A50,INDIRECT('LOCCS Import'!$E$3&amp;"$A$3"):INDIRECT('LOCCS Import'!$E$3&amp;"$O$54"),3,)),2)</f>
        <v>387153.43</v>
      </c>
      <c r="Q50" s="222" t="e">
        <f>#VALUE!</f>
        <v>#VALUE!</v>
      </c>
    </row>
    <row r="51" spans="1:17" x14ac:dyDescent="0.2">
      <c r="A51" s="4" t="s">
        <v>67</v>
      </c>
      <c r="B51" s="13">
        <f>VLOOKUP(A51,'LOCCS Import'!A$19:N$200,2,)</f>
        <v>1110426785</v>
      </c>
      <c r="C51" s="13">
        <f>VLOOKUP(A51,'LOCCS Import'!A$19:N$200,3,)</f>
        <v>1056194841.21</v>
      </c>
      <c r="D51" s="13">
        <f t="shared" si="7"/>
        <v>54231943.789999962</v>
      </c>
      <c r="E51" s="13">
        <f>VLOOKUP(A51,'LOCCS Import'!A$19:N$200,4,)</f>
        <v>22894791.32</v>
      </c>
      <c r="F51" s="13">
        <f>VLOOKUP(A51,'LOCCS Import'!A$19:N$200,5,)</f>
        <v>27485501</v>
      </c>
      <c r="G51" s="14">
        <f>VLOOKUP(A51,'LOCCS Import'!A$19:N$200,6,)</f>
        <v>1.97</v>
      </c>
      <c r="H51" s="14">
        <f>VLOOKUP(A51,'LOCCS Import'!A$19:N$200,7,)</f>
        <v>0.83</v>
      </c>
      <c r="I51" s="13">
        <f t="shared" si="8"/>
        <v>1907899.2766666666</v>
      </c>
      <c r="J51" s="15">
        <f t="shared" si="9"/>
        <v>9</v>
      </c>
      <c r="K51" s="13">
        <f t="shared" si="10"/>
        <v>37060850.299999967</v>
      </c>
      <c r="L51" s="13" t="str">
        <f t="shared" si="11"/>
        <v>on track</v>
      </c>
      <c r="M51" s="13" t="str">
        <f t="shared" si="12"/>
        <v>on track</v>
      </c>
      <c r="N51" s="179">
        <v>43922</v>
      </c>
      <c r="O51" s="16">
        <f t="shared" si="13"/>
        <v>46113</v>
      </c>
      <c r="P51" s="13">
        <f ca="1">ROUND(C51-(VLOOKUP(A51,INDIRECT('LOCCS Import'!$E$3&amp;"$A$3"):INDIRECT('LOCCS Import'!$E$3&amp;"$O$54"),3,)),2)</f>
        <v>1545578.17</v>
      </c>
      <c r="Q51" s="222" t="e">
        <f>#VALUE!</f>
        <v>#VALUE!</v>
      </c>
    </row>
    <row r="52" spans="1:17" x14ac:dyDescent="0.2">
      <c r="A52" s="4" t="s">
        <v>26</v>
      </c>
      <c r="B52" s="13">
        <f>VLOOKUP(A52,'LOCCS Import'!A$19:N$200,2,)</f>
        <v>124445693.39</v>
      </c>
      <c r="C52" s="13">
        <f>VLOOKUP(A52,'LOCCS Import'!A$19:N$200,3,)</f>
        <v>109598447.56</v>
      </c>
      <c r="D52" s="18">
        <f t="shared" si="7"/>
        <v>14847245.829999998</v>
      </c>
      <c r="E52" s="13">
        <f>VLOOKUP(A52,'LOCCS Import'!A$19:N$200,4,)</f>
        <v>5141991.54</v>
      </c>
      <c r="F52" s="13">
        <f>VLOOKUP(A52,'LOCCS Import'!A$19:N$200,5,)</f>
        <v>3545933</v>
      </c>
      <c r="G52" s="14">
        <f>VLOOKUP(A52,'LOCCS Import'!A$19:N$200,6,)</f>
        <v>4.1900000000000004</v>
      </c>
      <c r="H52" s="14">
        <f>VLOOKUP(A52,'LOCCS Import'!A$19:N$200,7,)</f>
        <v>1.45</v>
      </c>
      <c r="I52" s="18">
        <f t="shared" si="8"/>
        <v>428499.29499999998</v>
      </c>
      <c r="J52" s="15">
        <f t="shared" si="9"/>
        <v>6</v>
      </c>
      <c r="K52" s="18">
        <f t="shared" si="10"/>
        <v>12276250.059999999</v>
      </c>
      <c r="L52" s="18">
        <f t="shared" si="11"/>
        <v>1292563.3049999997</v>
      </c>
      <c r="M52" s="18">
        <f t="shared" si="12"/>
        <v>997068.88833333307</v>
      </c>
      <c r="N52" s="180">
        <v>43831</v>
      </c>
      <c r="O52" s="16">
        <f t="shared" si="13"/>
        <v>46023</v>
      </c>
      <c r="P52" s="13">
        <f ca="1">ROUND(C52-(VLOOKUP(A52,INDIRECT('LOCCS Import'!$E$3&amp;"$A$3"):INDIRECT('LOCCS Import'!$E$3&amp;"$O$54"),3,)),2)</f>
        <v>60599.51</v>
      </c>
      <c r="Q52" s="222" t="e">
        <f>#VALUE!</f>
        <v>#VALUE!</v>
      </c>
    </row>
    <row r="53" spans="1:17" x14ac:dyDescent="0.25">
      <c r="A53" s="34" t="s">
        <v>71</v>
      </c>
      <c r="B53" s="31">
        <f>VLOOKUP(A53,'LOCCS Import'!A$19:N$200,2,)</f>
        <v>44036420836.440002</v>
      </c>
      <c r="C53" s="13">
        <f>VLOOKUP(A53,'LOCCS Import'!A$19:N$200,3,)</f>
        <v>40838851898.900002</v>
      </c>
      <c r="D53" s="31">
        <f t="shared" si="7"/>
        <v>3197568937.5400009</v>
      </c>
      <c r="E53" s="13">
        <f>VLOOKUP(A53,'LOCCS Import'!A$19:N$200,4,)</f>
        <v>948506069.75</v>
      </c>
      <c r="F53" s="13">
        <f>VLOOKUP(A53,'LOCCS Import'!A$19:N$200,5,)</f>
        <v>983785270</v>
      </c>
      <c r="G53" s="14">
        <f>VLOOKUP(A53,'LOCCS Import'!A$19:N$200,6,)</f>
        <v>3.25</v>
      </c>
      <c r="H53" s="14">
        <f>VLOOKUP(A53,'LOCCS Import'!A$19:N$200,7,)</f>
        <v>0.96</v>
      </c>
      <c r="I53" s="31">
        <f t="shared" si="8"/>
        <v>79042172.479166672</v>
      </c>
      <c r="J53" s="32"/>
      <c r="K53" s="33"/>
      <c r="L53" s="33"/>
      <c r="M53" s="33"/>
      <c r="N53" s="33"/>
      <c r="O53" s="33"/>
      <c r="P53" s="31">
        <f ca="1">SUM(P3:P52)</f>
        <v>69412230.74000001</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f>COUNTIF(G3:G52,"&gt;2.5")</f>
        <v>36</v>
      </c>
      <c r="H56" s="25"/>
    </row>
    <row r="57" spans="1:17" ht="27" customHeight="1" thickBot="1" x14ac:dyDescent="0.3">
      <c r="D57" s="228" t="s">
        <v>73</v>
      </c>
      <c r="E57" s="229"/>
      <c r="F57" s="229"/>
      <c r="G57" s="27"/>
      <c r="H57" s="28">
        <f>COUNTIF(H3:H52,"&lt;1")</f>
        <v>35</v>
      </c>
    </row>
  </sheetData>
  <mergeCells count="2">
    <mergeCell ref="D56:F56"/>
    <mergeCell ref="D57:F57"/>
  </mergeCells>
  <conditionalFormatting sqref="G54">
    <cfRule type="cellIs" dxfId="15" priority="13" stopIfTrue="1" operator="greaterThan">
      <formula>2.5</formula>
    </cfRule>
    <cfRule type="cellIs" dxfId="14" priority="14" stopIfTrue="1" operator="between">
      <formula>2.01</formula>
      <formula>2.5</formula>
    </cfRule>
  </conditionalFormatting>
  <conditionalFormatting sqref="H3:H53">
    <cfRule type="cellIs" dxfId="13" priority="12" stopIfTrue="1" operator="lessThan">
      <formula>1</formula>
    </cfRule>
  </conditionalFormatting>
  <conditionalFormatting sqref="G3:G53">
    <cfRule type="cellIs" dxfId="12" priority="10" stopIfTrue="1" operator="greaterThan">
      <formula>2.5</formula>
    </cfRule>
    <cfRule type="cellIs" dxfId="11" priority="11" stopIfTrue="1" operator="between">
      <formula>2.01</formula>
      <formula>2.5</formula>
    </cfRule>
  </conditionalFormatting>
  <conditionalFormatting sqref="K3:K52">
    <cfRule type="cellIs" dxfId="10" priority="8" stopIfTrue="1" operator="greaterThan">
      <formula>$F3*2.5</formula>
    </cfRule>
    <cfRule type="cellIs" dxfId="9" priority="9" stopIfTrue="1" operator="between">
      <formula>$F3*2</formula>
      <formula>$F3*2.5</formula>
    </cfRule>
  </conditionalFormatting>
  <conditionalFormatting sqref="G54">
    <cfRule type="cellIs" dxfId="8" priority="6" stopIfTrue="1" operator="greaterThan">
      <formula>2.5</formula>
    </cfRule>
    <cfRule type="cellIs" dxfId="7" priority="7" stopIfTrue="1" operator="between">
      <formula>2.01</formula>
      <formula>2.5</formula>
    </cfRule>
  </conditionalFormatting>
  <conditionalFormatting sqref="H3:H53">
    <cfRule type="cellIs" dxfId="6" priority="5" stopIfTrue="1" operator="lessThan">
      <formula>1</formula>
    </cfRule>
  </conditionalFormatting>
  <conditionalFormatting sqref="G3:G53">
    <cfRule type="cellIs" dxfId="5" priority="3" stopIfTrue="1" operator="greaterThan">
      <formula>2.5</formula>
    </cfRule>
    <cfRule type="cellIs" dxfId="4" priority="4" stopIfTrue="1" operator="between">
      <formula>2.01</formula>
      <formula>2.5</formula>
    </cfRule>
  </conditionalFormatting>
  <conditionalFormatting sqref="K3:K52">
    <cfRule type="cellIs" dxfId="3" priority="1" stopIfTrue="1" operator="greaterThan">
      <formula>$F3*2.5</formula>
    </cfRule>
    <cfRule type="cellIs" dxfId="2"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CE7A-3BCD-4DDE-A68A-304A7FEA179D}">
  <sheetPr>
    <tabColor theme="1" tint="4.9989318521683403E-2"/>
  </sheetPr>
  <dimension ref="A1:DA81"/>
  <sheetViews>
    <sheetView zoomScale="85" zoomScaleNormal="85" workbookViewId="0">
      <selection activeCell="N72" sqref="N72"/>
    </sheetView>
  </sheetViews>
  <sheetFormatPr defaultRowHeight="12.5" x14ac:dyDescent="0.25"/>
  <cols>
    <col min="1" max="1" width="10.54296875" customWidth="1"/>
    <col min="2" max="3" width="20.1796875" customWidth="1"/>
    <col min="4" max="4" width="24" customWidth="1"/>
    <col min="5" max="5" width="17.26953125" bestFit="1" customWidth="1"/>
    <col min="6" max="6" width="11.1796875" customWidth="1"/>
    <col min="7" max="7" width="16.453125" bestFit="1" customWidth="1"/>
    <col min="8" max="8" width="8.453125" customWidth="1"/>
    <col min="9" max="9" width="12.453125" customWidth="1"/>
    <col min="10" max="16" width="7.54296875" customWidth="1"/>
    <col min="17" max="18" width="7.81640625" customWidth="1"/>
    <col min="19" max="20" width="9.81640625" customWidth="1"/>
    <col min="21" max="27" width="7.81640625" customWidth="1"/>
    <col min="28" max="55" width="6.26953125" customWidth="1"/>
  </cols>
  <sheetData>
    <row r="1" spans="2:105" s="29" customFormat="1" ht="14.5" x14ac:dyDescent="0.35">
      <c r="B1" s="35" t="s">
        <v>259</v>
      </c>
      <c r="C1" s="186" t="str">
        <f>RIGHT(CONCATENATE(A20,B20),10)</f>
        <v>04/30/2026</v>
      </c>
      <c r="D1" s="35" t="s">
        <v>260</v>
      </c>
      <c r="E1" s="42" t="str">
        <f>TEXT($C$3,"'mmm''yy'!")</f>
        <v>'Apr''26'!</v>
      </c>
      <c r="F1" s="42" t="str">
        <f>TEXT($C$3,"mmm'yy")</f>
        <v>Apr'26</v>
      </c>
      <c r="O1" s="44"/>
    </row>
    <row r="2" spans="2:105" s="29" customFormat="1" ht="14.5" x14ac:dyDescent="0.35">
      <c r="B2" s="35"/>
      <c r="D2" s="35"/>
      <c r="E2" s="43">
        <v>2</v>
      </c>
      <c r="F2" s="43">
        <v>3</v>
      </c>
      <c r="G2" s="43">
        <v>4</v>
      </c>
      <c r="H2" s="43">
        <v>5</v>
      </c>
      <c r="I2" s="43">
        <v>6</v>
      </c>
      <c r="J2" s="43">
        <v>7</v>
      </c>
      <c r="K2" s="43">
        <v>8</v>
      </c>
      <c r="L2" s="43">
        <v>9</v>
      </c>
      <c r="M2" s="43">
        <v>10</v>
      </c>
      <c r="N2" s="43">
        <v>11</v>
      </c>
      <c r="O2" s="43">
        <v>12</v>
      </c>
      <c r="P2" s="43">
        <v>13</v>
      </c>
      <c r="Q2" s="43">
        <v>14</v>
      </c>
      <c r="R2" s="43">
        <v>15</v>
      </c>
      <c r="S2" s="43">
        <v>16</v>
      </c>
      <c r="T2" s="43">
        <v>17</v>
      </c>
      <c r="U2" s="43">
        <v>18</v>
      </c>
      <c r="V2" s="43">
        <v>19</v>
      </c>
      <c r="W2" s="43">
        <v>20</v>
      </c>
      <c r="X2" s="43">
        <v>21</v>
      </c>
      <c r="Y2" s="43">
        <v>22</v>
      </c>
      <c r="Z2" s="43">
        <v>23</v>
      </c>
      <c r="AA2" s="43">
        <v>24</v>
      </c>
      <c r="BD2" s="29" t="s">
        <v>156</v>
      </c>
      <c r="BE2" s="29" t="s">
        <v>127</v>
      </c>
      <c r="BF2" s="29" t="s">
        <v>158</v>
      </c>
      <c r="BG2" s="29" t="s">
        <v>159</v>
      </c>
      <c r="BH2" s="29" t="s">
        <v>160</v>
      </c>
      <c r="BI2" s="29" t="s">
        <v>161</v>
      </c>
      <c r="BJ2" s="29" t="s">
        <v>162</v>
      </c>
      <c r="BK2" s="29" t="s">
        <v>163</v>
      </c>
      <c r="BL2" s="29" t="s">
        <v>164</v>
      </c>
      <c r="BM2" s="29" t="s">
        <v>165</v>
      </c>
      <c r="BN2" s="29" t="s">
        <v>166</v>
      </c>
      <c r="BO2" s="29" t="s">
        <v>168</v>
      </c>
      <c r="BP2" s="29" t="s">
        <v>169</v>
      </c>
      <c r="BQ2" s="29" t="s">
        <v>170</v>
      </c>
      <c r="BR2" s="29" t="s">
        <v>171</v>
      </c>
      <c r="BS2" s="29" t="s">
        <v>172</v>
      </c>
      <c r="BT2" s="29" t="s">
        <v>173</v>
      </c>
      <c r="BU2" s="29" t="s">
        <v>174</v>
      </c>
      <c r="BV2" s="29" t="s">
        <v>175</v>
      </c>
      <c r="BW2" s="29" t="s">
        <v>176</v>
      </c>
      <c r="BX2" s="29" t="s">
        <v>177</v>
      </c>
      <c r="BY2" s="29" t="s">
        <v>179</v>
      </c>
      <c r="BZ2" s="29" t="s">
        <v>180</v>
      </c>
      <c r="CA2" s="29" t="s">
        <v>181</v>
      </c>
      <c r="CB2" s="29" t="s">
        <v>182</v>
      </c>
      <c r="CC2" s="29" t="s">
        <v>183</v>
      </c>
      <c r="CD2" s="29" t="s">
        <v>184</v>
      </c>
      <c r="CE2" s="29" t="s">
        <v>185</v>
      </c>
      <c r="CF2" s="29" t="s">
        <v>186</v>
      </c>
      <c r="CG2" s="29" t="s">
        <v>187</v>
      </c>
      <c r="CH2" s="29" t="s">
        <v>188</v>
      </c>
      <c r="CI2" s="29" t="s">
        <v>189</v>
      </c>
      <c r="CJ2" s="29" t="s">
        <v>190</v>
      </c>
      <c r="CK2" s="29" t="s">
        <v>191</v>
      </c>
      <c r="CL2" s="29" t="s">
        <v>192</v>
      </c>
      <c r="CM2" s="29" t="s">
        <v>193</v>
      </c>
      <c r="CN2" s="29" t="s">
        <v>194</v>
      </c>
      <c r="CO2" s="29" t="s">
        <v>195</v>
      </c>
      <c r="CP2" s="29" t="s">
        <v>196</v>
      </c>
      <c r="CQ2" s="29" t="s">
        <v>197</v>
      </c>
      <c r="CR2" s="29" t="s">
        <v>198</v>
      </c>
      <c r="CS2" s="29" t="s">
        <v>199</v>
      </c>
      <c r="CT2" s="29" t="s">
        <v>201</v>
      </c>
      <c r="CU2" s="29" t="s">
        <v>202</v>
      </c>
      <c r="CV2" s="29" t="s">
        <v>203</v>
      </c>
      <c r="CW2" s="29" t="s">
        <v>204</v>
      </c>
      <c r="CX2" s="29" t="s">
        <v>205</v>
      </c>
      <c r="CY2" s="29" t="s">
        <v>206</v>
      </c>
      <c r="CZ2" s="29" t="s">
        <v>207</v>
      </c>
      <c r="DA2" s="29" t="s">
        <v>208</v>
      </c>
    </row>
    <row r="3" spans="2:105" s="29" customFormat="1" ht="14.5" x14ac:dyDescent="0.35">
      <c r="B3" s="35" t="s">
        <v>261</v>
      </c>
      <c r="C3" s="186" t="str">
        <f>RIGHT(CONCATENATE(A21,B21),10)</f>
        <v>04/30/2026</v>
      </c>
      <c r="D3" s="35" t="s">
        <v>262</v>
      </c>
      <c r="E3" s="42" t="str">
        <f>TEXT(($C$3-32),"'mmm''yy'!")</f>
        <v>'Mar''26'!</v>
      </c>
      <c r="F3" s="42" t="str">
        <f>TEXT(($C$3-64),"'mmm''yy'!")</f>
        <v>'Feb''26'!</v>
      </c>
      <c r="G3" s="42" t="str">
        <f>TEXT(($C$3-96),"'mmm''yy'!")</f>
        <v>'Jan''26'!</v>
      </c>
      <c r="H3" s="42" t="str">
        <f>TEXT(($C$3-128),"'mmm''yy'!")</f>
        <v>'Dec''25'!</v>
      </c>
      <c r="I3" s="42" t="str">
        <f>TEXT(($C$3-160),"'mmm''yy'!")</f>
        <v>'Nov''25'!</v>
      </c>
      <c r="J3" s="42" t="str">
        <f>TEXT(($C$3-192),"'mmm''yy'!")</f>
        <v>'Oct''25'!</v>
      </c>
      <c r="K3" s="42" t="str">
        <f>TEXT(($C$3-224),"'mmm''yy'!")</f>
        <v>'Sep''25'!</v>
      </c>
      <c r="L3" s="42" t="str">
        <f>TEXT(($C$3-256),"'mmm''yy'!")</f>
        <v>'Aug''25'!</v>
      </c>
      <c r="M3" s="42" t="str">
        <f>TEXT(($C$3-288),"'mmm''yy'!")</f>
        <v>'Jul''25'!</v>
      </c>
      <c r="N3" s="42" t="str">
        <f>TEXT(($C$3-320),"'mmm''yy'!")</f>
        <v>'Jun''25'!</v>
      </c>
      <c r="O3" s="42" t="str">
        <f>TEXT(($C$3-352),"'mmm''yy'!")</f>
        <v>'May''25'!</v>
      </c>
      <c r="P3" s="42" t="str">
        <f>TEXT(($C$3-383),"'mmm''yy'!")</f>
        <v>'Apr''25'!</v>
      </c>
      <c r="Q3" s="42" t="str">
        <f>TEXT(($C$3-414),"'mmm''yy'!")</f>
        <v>'Mar''25'!</v>
      </c>
      <c r="R3" s="42" t="str">
        <f>TEXT(($C$3-445),"'mmm''yy'!")</f>
        <v>'Feb''25'!</v>
      </c>
      <c r="S3" s="42" t="str">
        <f>TEXT(($C$3-476),"'mmm''yy'!")</f>
        <v>'Jan''25'!</v>
      </c>
      <c r="T3" s="42" t="str">
        <f>TEXT(($C$3-507),"'mmm''yy'!")</f>
        <v>'Dec''24'!</v>
      </c>
      <c r="U3" s="42" t="str">
        <f>TEXT(($C$3-538),"'mmm''yy'!")</f>
        <v>'Nov''24'!</v>
      </c>
      <c r="V3" s="42" t="str">
        <f>TEXT(($C$3-569),"'mmm''yy'!")</f>
        <v>'Oct''24'!</v>
      </c>
      <c r="W3" s="42" t="str">
        <f>TEXT(($C$3-600),"'mmm''yy'!")</f>
        <v>'Sep''24'!</v>
      </c>
      <c r="X3" s="42" t="str">
        <f>TEXT(($C$3-631),"'mmm''yy'!")</f>
        <v>'Aug''24'!</v>
      </c>
      <c r="Y3" s="42" t="str">
        <f>TEXT(($C$3-662),"'mmm''yy'!")</f>
        <v>'Jul''24'!</v>
      </c>
      <c r="Z3" s="42" t="str">
        <f>TEXT(($C$3-693),"'mmm''yy'!")</f>
        <v>'Jun''24'!</v>
      </c>
      <c r="AA3" s="42" t="str">
        <f>TEXT(($C$3-724),"'mmm''yy'!")</f>
        <v>'May''24'!</v>
      </c>
      <c r="BD3" s="159" t="s">
        <v>61</v>
      </c>
      <c r="BE3" s="159" t="s">
        <v>47</v>
      </c>
      <c r="BF3" s="159" t="s">
        <v>65</v>
      </c>
      <c r="BG3" s="159" t="s">
        <v>29</v>
      </c>
      <c r="BH3" s="159" t="s">
        <v>34</v>
      </c>
      <c r="BI3" s="159" t="s">
        <v>36</v>
      </c>
      <c r="BJ3" s="159" t="s">
        <v>38</v>
      </c>
      <c r="BK3" s="159" t="s">
        <v>70</v>
      </c>
      <c r="BL3" s="159" t="s">
        <v>19</v>
      </c>
      <c r="BM3" s="159" t="s">
        <v>50</v>
      </c>
      <c r="BN3" s="159" t="s">
        <v>60</v>
      </c>
      <c r="BO3" s="159" t="s">
        <v>23</v>
      </c>
      <c r="BP3" s="159" t="s">
        <v>63</v>
      </c>
      <c r="BQ3" s="159" t="s">
        <v>51</v>
      </c>
      <c r="BR3" s="159" t="s">
        <v>55</v>
      </c>
      <c r="BS3" s="159" t="s">
        <v>32</v>
      </c>
      <c r="BT3" s="159" t="s">
        <v>58</v>
      </c>
      <c r="BU3" s="159" t="s">
        <v>68</v>
      </c>
      <c r="BV3" s="159" t="s">
        <v>46</v>
      </c>
      <c r="BW3" s="159" t="s">
        <v>54</v>
      </c>
      <c r="BX3" s="159" t="s">
        <v>24</v>
      </c>
      <c r="BY3" s="159" t="s">
        <v>27</v>
      </c>
      <c r="BZ3" s="159" t="s">
        <v>49</v>
      </c>
      <c r="CA3" s="159" t="s">
        <v>33</v>
      </c>
      <c r="CB3" s="159" t="s">
        <v>25</v>
      </c>
      <c r="CC3" s="159" t="s">
        <v>39</v>
      </c>
      <c r="CD3" s="159" t="s">
        <v>57</v>
      </c>
      <c r="CE3" s="159" t="s">
        <v>64</v>
      </c>
      <c r="CF3" s="159" t="s">
        <v>44</v>
      </c>
      <c r="CG3" s="159" t="s">
        <v>31</v>
      </c>
      <c r="CH3" s="159" t="s">
        <v>41</v>
      </c>
      <c r="CI3" s="159" t="s">
        <v>21</v>
      </c>
      <c r="CJ3" s="159" t="s">
        <v>37</v>
      </c>
      <c r="CK3" s="159" t="s">
        <v>66</v>
      </c>
      <c r="CL3" s="159" t="s">
        <v>62</v>
      </c>
      <c r="CM3" s="159" t="s">
        <v>48</v>
      </c>
      <c r="CN3" s="159" t="s">
        <v>45</v>
      </c>
      <c r="CO3" s="159" t="s">
        <v>28</v>
      </c>
      <c r="CP3" s="159" t="s">
        <v>40</v>
      </c>
      <c r="CQ3" s="159" t="s">
        <v>30</v>
      </c>
      <c r="CR3" s="159" t="s">
        <v>43</v>
      </c>
      <c r="CS3" s="159" t="s">
        <v>56</v>
      </c>
      <c r="CT3" s="159" t="s">
        <v>53</v>
      </c>
      <c r="CU3" s="159" t="s">
        <v>69</v>
      </c>
      <c r="CV3" s="159" t="s">
        <v>59</v>
      </c>
      <c r="CW3" s="159" t="s">
        <v>35</v>
      </c>
      <c r="CX3" s="159" t="s">
        <v>52</v>
      </c>
      <c r="CY3" s="159" t="s">
        <v>22</v>
      </c>
      <c r="CZ3" s="159" t="s">
        <v>67</v>
      </c>
      <c r="DA3" s="159" t="s">
        <v>26</v>
      </c>
    </row>
    <row r="4" spans="2:105" s="29" customFormat="1" ht="14.5" x14ac:dyDescent="0.35">
      <c r="C4" s="187" t="s">
        <v>263</v>
      </c>
      <c r="E4" s="42" t="str">
        <f>TEXT(($C$3-32),"mmm'yy")</f>
        <v>Mar'26</v>
      </c>
      <c r="F4" s="42" t="str">
        <f>TEXT(($C$3-64),"mmm'yy")</f>
        <v>Feb'26</v>
      </c>
      <c r="G4" s="42" t="str">
        <f>TEXT(($C$3-96),"mmm'yy")</f>
        <v>Jan'26</v>
      </c>
      <c r="H4" s="42" t="str">
        <f>TEXT(($C$3-128),"mmm'yy")</f>
        <v>Dec'25</v>
      </c>
      <c r="I4" s="42" t="str">
        <f>TEXT(($C$3-160),"mmm'yy")</f>
        <v>Nov'25</v>
      </c>
      <c r="J4" s="42" t="str">
        <f>TEXT(($C$3-192),"mmm'yy")</f>
        <v>Oct'25</v>
      </c>
      <c r="K4" s="42" t="str">
        <f>TEXT(($C$3-224),"mmm'yy")</f>
        <v>Sep'25</v>
      </c>
      <c r="L4" s="42" t="str">
        <f>TEXT(($C$3-256),"mmm'yy")</f>
        <v>Aug'25</v>
      </c>
      <c r="M4" s="42" t="str">
        <f>TEXT(($C$3-288),"mmm'yy")</f>
        <v>Jul'25</v>
      </c>
      <c r="N4" s="42" t="str">
        <f>TEXT(($C$3-320),"mmm'yy")</f>
        <v>Jun'25</v>
      </c>
      <c r="O4" s="42" t="str">
        <f>TEXT(($C$3-352),"mmm'yy")</f>
        <v>May'25</v>
      </c>
      <c r="P4" s="42" t="str">
        <f>TEXT(($C$3-383),"mmm'yy")</f>
        <v>Apr'25</v>
      </c>
      <c r="Q4" s="42" t="str">
        <f>TEXT(($C$3-414),"mmm'yy")</f>
        <v>Mar'25</v>
      </c>
      <c r="R4" s="42" t="str">
        <f>TEXT(($C$3-445),"mmm'yy")</f>
        <v>Feb'25</v>
      </c>
      <c r="S4" s="42" t="str">
        <f>TEXT(($C$3-476),"mmm'yy")</f>
        <v>Jan'25</v>
      </c>
      <c r="T4" s="42" t="str">
        <f>TEXT(($C$3-507),"mmm'yy")</f>
        <v>Dec'24</v>
      </c>
      <c r="U4" s="42" t="str">
        <f>TEXT(($C$3-538),"mmm'yy")</f>
        <v>Nov'24</v>
      </c>
      <c r="V4" s="42" t="str">
        <f>TEXT(($C$3-569),"mmm'yy")</f>
        <v>Oct'24</v>
      </c>
      <c r="W4" s="42" t="str">
        <f>TEXT(($C$3-600),"mmm'yy")</f>
        <v>Sep'24</v>
      </c>
      <c r="X4" s="42" t="str">
        <f>TEXT(($C$3-631),"mmm'yy")</f>
        <v>Aug'24</v>
      </c>
      <c r="Y4" s="42" t="str">
        <f>TEXT(($C$3-662),"mmm'yy")</f>
        <v>Jul'24</v>
      </c>
      <c r="Z4" s="42" t="str">
        <f>TEXT(($C$3-693),"mmm'yy")</f>
        <v>Jun'24</v>
      </c>
      <c r="AA4" s="42" t="str">
        <f>TEXT(($C$3-724),"mmm'yy")</f>
        <v>May'24</v>
      </c>
    </row>
    <row r="5" spans="2:105" s="29" customFormat="1" ht="14.5" x14ac:dyDescent="0.35">
      <c r="E5" s="42"/>
      <c r="F5" s="42"/>
      <c r="G5" s="42"/>
      <c r="H5" s="42"/>
      <c r="I5" s="42"/>
      <c r="J5" s="42"/>
      <c r="K5" s="42"/>
      <c r="L5" s="42"/>
      <c r="M5" s="42"/>
      <c r="N5" s="42"/>
      <c r="O5" s="45"/>
      <c r="Q5" s="45"/>
      <c r="S5" s="45"/>
      <c r="U5" s="45"/>
      <c r="W5" s="45"/>
      <c r="Y5" s="45"/>
      <c r="AA5" s="45"/>
    </row>
    <row r="6" spans="2:105" s="29" customFormat="1" ht="21" x14ac:dyDescent="0.5">
      <c r="C6" s="181" t="s">
        <v>264</v>
      </c>
      <c r="D6" s="36"/>
      <c r="E6" s="36"/>
      <c r="F6" s="36"/>
      <c r="G6" s="36"/>
      <c r="O6" s="42"/>
    </row>
    <row r="7" spans="2:105" s="29" customFormat="1" ht="14.5" x14ac:dyDescent="0.35">
      <c r="C7" s="37" t="s">
        <v>265</v>
      </c>
      <c r="D7" s="37"/>
      <c r="E7" s="37"/>
      <c r="F7" s="38" t="str">
        <f>IF(SUM(template!B$3:B$52)=template!B$53,"OK","Mistake")</f>
        <v>OK</v>
      </c>
      <c r="G7" s="37"/>
      <c r="O7" s="42"/>
    </row>
    <row r="8" spans="2:105" s="29" customFormat="1" ht="14.5" x14ac:dyDescent="0.35">
      <c r="C8" s="29" t="s">
        <v>266</v>
      </c>
      <c r="F8" s="38" t="str">
        <f>IF(SUM(template!C$3:C$52)=template!C$53,"OK","Mistake")</f>
        <v>OK</v>
      </c>
      <c r="O8" s="42"/>
    </row>
    <row r="9" spans="2:105" s="29" customFormat="1" ht="14.5" x14ac:dyDescent="0.35">
      <c r="C9" s="29" t="s">
        <v>267</v>
      </c>
      <c r="F9" s="38" t="str">
        <f>IF(SUM(template!E$3:E$52)=template!E$53,"OK","Mistake")</f>
        <v>OK</v>
      </c>
      <c r="O9" s="42"/>
    </row>
    <row r="10" spans="2:105" s="29" customFormat="1" ht="14.5" x14ac:dyDescent="0.35">
      <c r="C10" s="29" t="s">
        <v>268</v>
      </c>
      <c r="F10" s="38" t="str">
        <f>IF(SUM(template!F$3:F$52)=template!F$53,"OK","Mistake")</f>
        <v>OK</v>
      </c>
    </row>
    <row r="11" spans="2:105" s="29" customFormat="1" ht="14.5" x14ac:dyDescent="0.35">
      <c r="C11" s="29" t="s">
        <v>269</v>
      </c>
      <c r="F11" s="38" t="str">
        <f>IF(template!G3=ROUND((template!B3-template!C3)/template!F3,2),"OK",template!A3)</f>
        <v>OK</v>
      </c>
      <c r="G11" s="38" t="str">
        <f>IF(template!G4=ROUND((template!B4-template!C4)/template!F4,2),"OK",template!A4)</f>
        <v>OK</v>
      </c>
      <c r="H11" s="38" t="str">
        <f>IF(template!G5=ROUND((template!B5-template!C5)/template!F5,2),"OK",template!A5)</f>
        <v>OK</v>
      </c>
      <c r="I11" s="38" t="str">
        <f>IF(template!G6=ROUND((template!B6-template!C6)/template!F6,2),"OK",template!A6)</f>
        <v>OK</v>
      </c>
      <c r="J11" s="38" t="str">
        <f>IF(template!G7=ROUND((template!B7-template!C7)/template!F7,2),"OK",template!A7)</f>
        <v>OK</v>
      </c>
      <c r="K11" s="38" t="str">
        <f>IF(template!G8=ROUND((template!B8-template!C8)/template!F8,2),"OK",template!A8)</f>
        <v>OK</v>
      </c>
      <c r="L11" s="38" t="str">
        <f>IF(template!G9=ROUND((template!B9-template!C9)/template!F9,2),"OK",template!A9)</f>
        <v>OK</v>
      </c>
      <c r="M11" s="38" t="str">
        <f>IF(template!G10=ROUND((template!B10-template!C10)/template!F10,2),"OK",template!A10)</f>
        <v>OK</v>
      </c>
      <c r="N11" s="38" t="str">
        <f>IF(template!G11=ROUND((template!B11-template!C11)/template!F11,2),"OK",template!A11)</f>
        <v>OK</v>
      </c>
      <c r="O11" s="38" t="str">
        <f>IF(template!G12=ROUND((template!B12-template!C12)/template!F12,2),"OK",template!A12)</f>
        <v>OK</v>
      </c>
      <c r="P11" s="38" t="str">
        <f>IF(template!G13=ROUND((template!B13-template!C13)/template!F13,2),"OK",template!A13)</f>
        <v>OK</v>
      </c>
      <c r="Q11" s="38" t="str">
        <f>IF(template!G14=ROUND((template!B14-template!C14)/template!F14,2),"OK",template!A14)</f>
        <v>OK</v>
      </c>
      <c r="R11" s="38" t="str">
        <f>IF(template!G15=ROUND((template!B15-template!C15)/template!F15,2),"OK",template!A15)</f>
        <v>OK</v>
      </c>
      <c r="S11" s="38" t="str">
        <f>IF(template!G16=ROUND((template!B16-template!C16)/template!F16,2),"OK",template!A16)</f>
        <v>OK</v>
      </c>
      <c r="T11" s="38" t="str">
        <f>IF(template!G17=ROUND((template!B17-template!C17)/template!F17,2),"OK",template!A17)</f>
        <v>OK</v>
      </c>
      <c r="U11" s="38" t="str">
        <f>IF(template!G18=ROUND((template!B18-template!C18)/template!F18,2),"OK",template!A18)</f>
        <v>OK</v>
      </c>
      <c r="V11" s="38" t="str">
        <f>IF(template!G19=ROUND((template!B19-template!C19)/template!F19,2),"OK",template!A19)</f>
        <v>OK</v>
      </c>
      <c r="W11" s="38" t="str">
        <f>IF(template!G20=ROUND((template!B20-template!C20)/template!F20,2),"OK",template!A20)</f>
        <v>OK</v>
      </c>
      <c r="X11" s="38" t="str">
        <f>IF(template!G21=ROUND((template!B21-template!C21)/template!F21,2),"OK",template!A21)</f>
        <v>OK</v>
      </c>
      <c r="Y11" s="38" t="str">
        <f>IF(template!G22=ROUND((template!B22-template!C22)/template!F22,2),"OK",template!A22)</f>
        <v>OK</v>
      </c>
      <c r="Z11" s="38" t="str">
        <f>IF(template!G23=ROUND((template!B23-template!C23)/template!F23,2),"OK",template!A23)</f>
        <v>OK</v>
      </c>
      <c r="AA11" s="38" t="str">
        <f>IF(template!G24=ROUND((template!B24-template!C24)/template!F24,2),"OK",template!A24)</f>
        <v>OK</v>
      </c>
      <c r="AB11" s="38" t="str">
        <f>IF(template!G25=ROUND((template!B25-template!C25)/template!F25,2),"OK",template!A25)</f>
        <v>OK</v>
      </c>
      <c r="AC11" s="38" t="str">
        <f>IF(template!G26=ROUND((template!B26-template!C26)/template!F26,2),"OK",template!A26)</f>
        <v>OK</v>
      </c>
      <c r="AD11" s="38" t="str">
        <f>IF(template!G27=ROUND((template!B27-template!C27)/template!F27,2),"OK",template!A27)</f>
        <v>OK</v>
      </c>
      <c r="AE11" s="38" t="str">
        <f>IF(template!G28=ROUND((template!B28-template!C28)/template!F28,2),"OK",template!A28)</f>
        <v>OK</v>
      </c>
      <c r="AF11" s="38" t="str">
        <f>IF(template!G29=ROUND((template!B29-template!C29)/template!F29,2),"OK",template!A29)</f>
        <v>OK</v>
      </c>
      <c r="AG11" s="38" t="str">
        <f>IF(template!G30=ROUND((template!B30-template!C30)/template!F30,2),"OK",template!A30)</f>
        <v>OK</v>
      </c>
      <c r="AH11" s="38" t="str">
        <f>IF(template!G31=ROUND((template!B31-template!C31)/template!F31,2),"OK",template!A31)</f>
        <v>OK</v>
      </c>
      <c r="AI11" s="38" t="str">
        <f>IF(template!G32=ROUND((template!B32-template!C32)/template!F32,2),"OK",template!A32)</f>
        <v>OK</v>
      </c>
      <c r="AJ11" s="38" t="str">
        <f>IF(template!G33=ROUND((template!B33-template!C33)/template!F33,2),"OK",template!A33)</f>
        <v>OK</v>
      </c>
      <c r="AK11" s="38" t="str">
        <f>IF(template!G34=ROUND((template!B34-template!C34)/template!F34,2),"OK",template!A34)</f>
        <v>OK</v>
      </c>
      <c r="AL11" s="38" t="str">
        <f>IF(template!G35=ROUND((template!B35-template!C35)/template!F35,2),"OK",template!A35)</f>
        <v>OK</v>
      </c>
      <c r="AM11" s="38" t="str">
        <f>IF(template!G36=ROUND((template!B36-template!C36)/template!F36,2),"OK",template!A36)</f>
        <v>OK</v>
      </c>
      <c r="AN11" s="38" t="str">
        <f>IF(template!G37=ROUND((template!B37-template!C37)/template!F37,2),"OK",template!A37)</f>
        <v>OK</v>
      </c>
      <c r="AO11" s="38" t="str">
        <f>IF(template!G38=ROUND((template!B38-template!C38)/template!F38,2),"OK",template!A38)</f>
        <v>OK</v>
      </c>
      <c r="AP11" s="38" t="str">
        <f>IF(template!G39=ROUND((template!B39-template!C39)/template!F39,2),"OK",template!A39)</f>
        <v>OK</v>
      </c>
      <c r="AQ11" s="38" t="str">
        <f>IF(template!G40=ROUND((template!B40-template!C40)/template!F40,2),"OK",template!A40)</f>
        <v>OK</v>
      </c>
      <c r="AR11" s="38" t="str">
        <f>IF(template!G41=ROUND((template!B41-template!C41)/template!F41,2),"OK",template!A41)</f>
        <v>OK</v>
      </c>
      <c r="AS11" s="38" t="str">
        <f>IF(template!G42=ROUND((template!B42-template!C42)/template!F42,2),"OK",template!A42)</f>
        <v>OK</v>
      </c>
      <c r="AT11" s="38" t="str">
        <f>IF(template!G43=ROUND((template!B43-template!C43)/template!F43,2),"OK",template!A43)</f>
        <v>OK</v>
      </c>
      <c r="AU11" s="38" t="str">
        <f>IF(template!G44=ROUND((template!B44-template!C44)/template!F44,2),"OK",template!A44)</f>
        <v>OK</v>
      </c>
      <c r="AV11" s="38" t="str">
        <f>IF(template!G45=ROUND((template!B45-template!C45)/template!F45,2),"OK",template!A45)</f>
        <v>OK</v>
      </c>
      <c r="AW11" s="38" t="str">
        <f>IF(template!G46=ROUND((template!B46-template!C46)/template!F46,2),"OK",template!A46)</f>
        <v>OK</v>
      </c>
      <c r="AX11" s="38" t="str">
        <f>IF(template!G47=ROUND((template!B47-template!C47)/template!F47,2),"OK",template!A47)</f>
        <v>OK</v>
      </c>
      <c r="AY11" s="38" t="str">
        <f>IF(template!G48=ROUND((template!B48-template!C48)/template!F48,2),"OK",template!A48)</f>
        <v>OK</v>
      </c>
      <c r="AZ11" s="38" t="str">
        <f>IF(template!G49=ROUND((template!B49-template!C49)/template!F49,2),"OK",template!A49)</f>
        <v>OK</v>
      </c>
      <c r="BA11" s="38" t="str">
        <f>IF(template!G50=ROUND((template!B50-template!C50)/template!F50,2),"OK",template!A50)</f>
        <v>OK</v>
      </c>
      <c r="BB11" s="38" t="str">
        <f>IF(template!G51=ROUND((template!B51-template!C51)/template!F51,2),"OK",template!A51)</f>
        <v>OK</v>
      </c>
      <c r="BC11" s="38" t="str">
        <f>IF(template!G52=ROUND((template!B52-template!C52)/template!F52,2),"OK",template!A52)</f>
        <v>OK</v>
      </c>
    </row>
    <row r="12" spans="2:105" s="29" customFormat="1" ht="14.5" x14ac:dyDescent="0.35">
      <c r="C12" s="29" t="s">
        <v>270</v>
      </c>
      <c r="F12" s="38" t="str">
        <f>IF(template!H3=ROUND((template!E3/template!F3),2),"OK",template!A3)</f>
        <v>OK</v>
      </c>
      <c r="G12" s="38" t="str">
        <f>IF(template!H4=ROUND((template!E4/template!F4),2),"OK",template!A4)</f>
        <v>OK</v>
      </c>
      <c r="H12" s="38" t="str">
        <f>IF(template!H5=ROUND((template!E5/template!F5),2),"OK",template!A5)</f>
        <v>OK</v>
      </c>
      <c r="I12" s="38" t="str">
        <f>IF(template!H6=ROUND((template!E6/template!F6),2),"OK",template!A6)</f>
        <v>OK</v>
      </c>
      <c r="J12" s="38" t="str">
        <f>IF(template!H7=ROUND((template!E7/template!F7),2),"OK",template!A7)</f>
        <v>OK</v>
      </c>
      <c r="K12" s="38" t="str">
        <f>IF(template!H8=ROUND((template!E8/template!F8),2),"OK",template!A8)</f>
        <v>OK</v>
      </c>
      <c r="L12" s="38" t="str">
        <f>IF(template!H9=ROUND((template!E9/template!F9),2),"OK",template!A9)</f>
        <v>OK</v>
      </c>
      <c r="M12" s="38" t="str">
        <f>IF(template!H10=ROUND((template!E10/template!F10),2),"OK",template!A10)</f>
        <v>OK</v>
      </c>
      <c r="N12" s="38" t="str">
        <f>IF(template!H11=ROUND((template!E11/template!F11),2),"OK",template!A11)</f>
        <v>OK</v>
      </c>
      <c r="O12" s="38" t="str">
        <f>IF(template!H12=ROUND((template!E12/template!F12),2),"OK",template!A12)</f>
        <v>OK</v>
      </c>
      <c r="P12" s="38" t="str">
        <f>IF(template!H13=ROUND((template!E13/template!F13),2),"OK",template!A13)</f>
        <v>OK</v>
      </c>
      <c r="Q12" s="38" t="str">
        <f>IF(template!H14=ROUND((template!E14/template!F14),2),"OK",template!A14)</f>
        <v>OK</v>
      </c>
      <c r="R12" s="38" t="str">
        <f>IF(template!H15=ROUND((template!E15/template!F15),2),"OK",template!A15)</f>
        <v>OK</v>
      </c>
      <c r="S12" s="38" t="str">
        <f>IF(template!H16=ROUND((template!E16/template!F16),2),"OK",template!A16)</f>
        <v>OK</v>
      </c>
      <c r="T12" s="38" t="str">
        <f>IF(template!H17=ROUND((template!E17/template!F17),2),"OK",template!A17)</f>
        <v>OK</v>
      </c>
      <c r="U12" s="38" t="str">
        <f>IF(template!H18=ROUND((template!E18/template!F18),2),"OK",template!A18)</f>
        <v>OK</v>
      </c>
      <c r="V12" s="38" t="str">
        <f>IF(template!H19=ROUND((template!E19/template!F19),2),"OK",template!A19)</f>
        <v>OK</v>
      </c>
      <c r="W12" s="38" t="str">
        <f>IF(template!H20=ROUND((template!E20/template!F20),2),"OK",template!A20)</f>
        <v>OK</v>
      </c>
      <c r="X12" s="38" t="str">
        <f>IF(template!H21=ROUND((template!E21/template!F21),2),"OK",template!A21)</f>
        <v>OK</v>
      </c>
      <c r="Y12" s="38" t="str">
        <f>IF(template!H22=ROUND((template!E22/template!F22),2),"OK",template!A22)</f>
        <v>OK</v>
      </c>
      <c r="Z12" s="38" t="str">
        <f>IF(template!H23=ROUND((template!E23/template!F23),2),"OK",template!A23)</f>
        <v>OK</v>
      </c>
      <c r="AA12" s="38" t="str">
        <f>IF(template!H24=ROUND((template!E24/template!F24),2),"OK",template!A24)</f>
        <v>OK</v>
      </c>
      <c r="AB12" s="38" t="str">
        <f>IF(template!H25=ROUND((template!E25/template!F25),2),"OK",template!A25)</f>
        <v>OK</v>
      </c>
      <c r="AC12" s="38" t="str">
        <f>IF(template!H26=ROUND((template!E26/template!F26),2),"OK",template!A26)</f>
        <v>OK</v>
      </c>
      <c r="AD12" s="38" t="str">
        <f>IF(template!H27=ROUND((template!E27/template!F27),2),"OK",template!A27)</f>
        <v>OK</v>
      </c>
      <c r="AE12" s="38" t="str">
        <f>IF(template!H28=ROUND((template!E28/template!F28),2),"OK",template!A28)</f>
        <v>OK</v>
      </c>
      <c r="AF12" s="38" t="str">
        <f>IF(template!H29=ROUND((template!E29/template!F29),2),"OK",template!A29)</f>
        <v>OK</v>
      </c>
      <c r="AG12" s="38" t="str">
        <f>IF(template!H30=ROUND((template!E30/template!F30),2),"OK",template!A30)</f>
        <v>OK</v>
      </c>
      <c r="AH12" s="38" t="str">
        <f>IF(template!H31=ROUND((template!E31/template!F31),2),"OK",template!A31)</f>
        <v>OK</v>
      </c>
      <c r="AI12" s="38" t="str">
        <f>IF(template!H32=ROUND((template!E32/template!F32),2),"OK",template!A32)</f>
        <v>OK</v>
      </c>
      <c r="AJ12" s="38" t="str">
        <f>IF(template!H33=ROUND((template!E33/template!F33),2),"OK",template!A33)</f>
        <v>OK</v>
      </c>
      <c r="AK12" s="38" t="str">
        <f>IF(template!H34=ROUND((template!E34/template!F34),2),"OK",template!A34)</f>
        <v>OK</v>
      </c>
      <c r="AL12" s="38" t="str">
        <f>IF(template!H35=ROUND((template!E35/template!F35),2),"OK",template!A35)</f>
        <v>OK</v>
      </c>
      <c r="AM12" s="38" t="str">
        <f>IF(template!H36=ROUND((template!E36/template!F36),2),"OK",template!A36)</f>
        <v>OK</v>
      </c>
      <c r="AN12" s="38" t="str">
        <f>IF(template!H37=ROUND((template!E37/template!F37),2),"OK",template!A37)</f>
        <v>OK</v>
      </c>
      <c r="AO12" s="38" t="str">
        <f>IF(template!H38=ROUND((template!E38/template!F38),2),"OK",template!A38)</f>
        <v>OK</v>
      </c>
      <c r="AP12" s="38" t="str">
        <f>IF(template!H39=ROUND((template!E39/template!F39),2),"OK",template!A39)</f>
        <v>OK</v>
      </c>
      <c r="AQ12" s="38" t="str">
        <f>IF(template!H40=ROUND((template!E40/template!F40),2),"OK",template!A40)</f>
        <v>OK</v>
      </c>
      <c r="AR12" s="38" t="str">
        <f>IF(template!H41=ROUND((template!E41/template!F41),2),"OK",template!A41)</f>
        <v>OK</v>
      </c>
      <c r="AS12" s="38" t="str">
        <f>IF(template!H42=ROUND((template!E42/template!F42),2),"OK",template!A42)</f>
        <v>OK</v>
      </c>
      <c r="AT12" s="38" t="str">
        <f>IF(template!H43=ROUND((template!E43/template!F43),2),"OK",template!A43)</f>
        <v>OK</v>
      </c>
      <c r="AU12" s="38" t="str">
        <f>IF(template!H44=ROUND((template!E44/template!F44),2),"OK",template!A44)</f>
        <v>OK</v>
      </c>
      <c r="AV12" s="38" t="str">
        <f>IF(template!H45=ROUND((template!E45/template!F45),2),"OK",template!A45)</f>
        <v>OK</v>
      </c>
      <c r="AW12" s="38" t="str">
        <f>IF(template!H46=ROUND((template!E46/template!F46),2),"OK",template!A46)</f>
        <v>OK</v>
      </c>
      <c r="AX12" s="38" t="str">
        <f>IF(template!H47=ROUND((template!E47/template!F47),2),"OK",template!A47)</f>
        <v>OK</v>
      </c>
      <c r="AY12" s="38" t="str">
        <f>IF(template!H48=ROUND((template!E48/template!F48),2),"OK",template!A48)</f>
        <v>OK</v>
      </c>
      <c r="AZ12" s="38" t="str">
        <f>IF(template!H49=ROUND((template!E49/template!F49),2),"OK",template!A49)</f>
        <v>OK</v>
      </c>
      <c r="BA12" s="38" t="str">
        <f>IF(template!H50=ROUND((template!E50/template!F50),2),"OK",template!A50)</f>
        <v>OK</v>
      </c>
      <c r="BB12" s="38" t="str">
        <f>IF(template!H51=ROUND((template!E51/template!F51),2),"OK",template!A51)</f>
        <v>OK</v>
      </c>
      <c r="BC12" s="38" t="str">
        <f>IF(template!H52=ROUND((template!E52/template!F52),2),"OK",template!A52)</f>
        <v>OK</v>
      </c>
    </row>
    <row r="18" spans="1:11" s="29" customFormat="1" ht="14.5" x14ac:dyDescent="0.35">
      <c r="B18" s="29" t="s">
        <v>271</v>
      </c>
    </row>
    <row r="19" spans="1:11" x14ac:dyDescent="0.25">
      <c r="A19" t="s">
        <v>272</v>
      </c>
      <c r="C19" t="s">
        <v>273</v>
      </c>
      <c r="D19" t="s">
        <v>274</v>
      </c>
      <c r="E19" t="s">
        <v>275</v>
      </c>
      <c r="G19" t="s">
        <v>276</v>
      </c>
      <c r="J19" s="185"/>
      <c r="K19" s="185"/>
    </row>
    <row r="20" spans="1:11" x14ac:dyDescent="0.25">
      <c r="A20" t="s">
        <v>277</v>
      </c>
      <c r="B20">
        <v>2026</v>
      </c>
      <c r="C20" t="s">
        <v>278</v>
      </c>
      <c r="D20" t="s">
        <v>279</v>
      </c>
      <c r="E20" t="s">
        <v>280</v>
      </c>
      <c r="J20" s="185"/>
      <c r="K20" s="185"/>
    </row>
    <row r="21" spans="1:11" x14ac:dyDescent="0.25">
      <c r="A21" t="s">
        <v>281</v>
      </c>
      <c r="B21">
        <v>2026</v>
      </c>
      <c r="C21" t="s">
        <v>282</v>
      </c>
      <c r="D21" t="s">
        <v>283</v>
      </c>
      <c r="E21" t="s">
        <v>284</v>
      </c>
      <c r="J21" s="185"/>
      <c r="K21" s="185"/>
    </row>
    <row r="22" spans="1:11" x14ac:dyDescent="0.25">
      <c r="C22" t="s">
        <v>285</v>
      </c>
      <c r="D22" t="s">
        <v>286</v>
      </c>
      <c r="E22" t="s">
        <v>287</v>
      </c>
      <c r="J22" s="185"/>
      <c r="K22" s="185"/>
    </row>
    <row r="23" spans="1:11" x14ac:dyDescent="0.25">
      <c r="J23" s="185"/>
      <c r="K23" s="185"/>
    </row>
    <row r="24" spans="1:11" x14ac:dyDescent="0.25">
      <c r="C24" t="s">
        <v>288</v>
      </c>
      <c r="D24" t="s">
        <v>289</v>
      </c>
      <c r="J24" s="185"/>
      <c r="K24" s="185"/>
    </row>
    <row r="25" spans="1:11" x14ac:dyDescent="0.25">
      <c r="J25" s="185"/>
      <c r="K25" s="185"/>
    </row>
    <row r="26" spans="1:11" x14ac:dyDescent="0.25">
      <c r="A26" t="s">
        <v>290</v>
      </c>
      <c r="B26" t="s">
        <v>290</v>
      </c>
      <c r="C26" t="s">
        <v>291</v>
      </c>
      <c r="D26" t="s">
        <v>291</v>
      </c>
      <c r="E26" t="s">
        <v>291</v>
      </c>
      <c r="F26" t="s">
        <v>292</v>
      </c>
      <c r="G26" t="s">
        <v>290</v>
      </c>
      <c r="H26" t="s">
        <v>293</v>
      </c>
      <c r="I26" t="s">
        <v>294</v>
      </c>
      <c r="J26" s="185"/>
      <c r="K26" s="185"/>
    </row>
    <row r="27" spans="1:11" x14ac:dyDescent="0.25">
      <c r="B27" t="s">
        <v>295</v>
      </c>
      <c r="C27" t="s">
        <v>296</v>
      </c>
      <c r="D27" t="s">
        <v>297</v>
      </c>
      <c r="E27" t="s">
        <v>298</v>
      </c>
      <c r="F27" t="s">
        <v>299</v>
      </c>
      <c r="G27" t="s">
        <v>300</v>
      </c>
      <c r="H27" t="s">
        <v>301</v>
      </c>
      <c r="I27" t="s">
        <v>302</v>
      </c>
      <c r="J27" s="185"/>
      <c r="K27" s="225" t="s">
        <v>303</v>
      </c>
    </row>
    <row r="28" spans="1:11" x14ac:dyDescent="0.25">
      <c r="A28" t="s">
        <v>2</v>
      </c>
      <c r="B28" t="s">
        <v>304</v>
      </c>
      <c r="C28" t="s">
        <v>305</v>
      </c>
      <c r="D28" t="s">
        <v>306</v>
      </c>
      <c r="E28" t="s">
        <v>307</v>
      </c>
      <c r="F28" t="e">
        <f>-ed To Gr</f>
        <v>#NAME?</v>
      </c>
      <c r="G28" t="s">
        <v>308</v>
      </c>
      <c r="H28" t="s">
        <v>309</v>
      </c>
      <c r="I28" t="s">
        <v>310</v>
      </c>
      <c r="J28" s="185"/>
      <c r="K28" s="185"/>
    </row>
    <row r="29" spans="1:11" x14ac:dyDescent="0.25">
      <c r="A29" t="s">
        <v>290</v>
      </c>
      <c r="B29" t="s">
        <v>290</v>
      </c>
      <c r="C29" t="s">
        <v>291</v>
      </c>
      <c r="D29" t="s">
        <v>291</v>
      </c>
      <c r="E29" t="s">
        <v>291</v>
      </c>
      <c r="F29" t="s">
        <v>292</v>
      </c>
      <c r="G29" t="s">
        <v>290</v>
      </c>
      <c r="H29" t="s">
        <v>293</v>
      </c>
      <c r="I29" t="s">
        <v>294</v>
      </c>
      <c r="J29" s="185"/>
      <c r="K29" s="185"/>
    </row>
    <row r="30" spans="1:11" x14ac:dyDescent="0.25">
      <c r="A30" t="s">
        <v>19</v>
      </c>
      <c r="B30" s="224">
        <v>1161972037.8499999</v>
      </c>
      <c r="C30" s="224">
        <v>1009058031.05</v>
      </c>
      <c r="D30" s="224">
        <v>22900934.800000001</v>
      </c>
      <c r="E30" s="224">
        <v>24581601</v>
      </c>
      <c r="F30">
        <v>6.22</v>
      </c>
      <c r="G30">
        <v>0.93</v>
      </c>
      <c r="J30" s="185"/>
      <c r="K30" s="185"/>
    </row>
    <row r="31" spans="1:11" x14ac:dyDescent="0.25">
      <c r="A31" t="s">
        <v>22</v>
      </c>
      <c r="B31" s="224">
        <v>722479384.32000005</v>
      </c>
      <c r="C31" s="224">
        <v>646750834.75</v>
      </c>
      <c r="D31" s="224">
        <v>10779780.02</v>
      </c>
      <c r="E31" s="224">
        <v>13783001</v>
      </c>
      <c r="F31">
        <v>5.49</v>
      </c>
      <c r="G31">
        <v>0.78</v>
      </c>
      <c r="J31" s="185"/>
      <c r="K31" s="185"/>
    </row>
    <row r="32" spans="1:11" x14ac:dyDescent="0.25">
      <c r="A32" t="s">
        <v>24</v>
      </c>
      <c r="B32" s="224">
        <v>1503333344.97</v>
      </c>
      <c r="C32" s="224">
        <v>1321172056.3499999</v>
      </c>
      <c r="D32" s="224">
        <v>22475092.48</v>
      </c>
      <c r="E32" s="224">
        <v>34090474</v>
      </c>
      <c r="F32">
        <v>5.34</v>
      </c>
      <c r="G32">
        <v>0.66</v>
      </c>
      <c r="J32" s="185"/>
      <c r="K32" s="185"/>
    </row>
    <row r="33" spans="1:7" x14ac:dyDescent="0.25">
      <c r="A33" t="s">
        <v>21</v>
      </c>
      <c r="B33" s="224">
        <v>1834758280.3599999</v>
      </c>
      <c r="C33" s="224">
        <v>1587891455.1800001</v>
      </c>
      <c r="D33" s="224">
        <v>43607005.939999998</v>
      </c>
      <c r="E33" s="224">
        <v>46162390</v>
      </c>
      <c r="F33">
        <v>5.35</v>
      </c>
      <c r="G33">
        <v>0.94</v>
      </c>
    </row>
    <row r="34" spans="1:7" x14ac:dyDescent="0.25">
      <c r="A34" t="s">
        <v>31</v>
      </c>
      <c r="B34" s="224">
        <v>504504813</v>
      </c>
      <c r="C34" s="224">
        <v>458533361.48000002</v>
      </c>
      <c r="D34" s="224">
        <v>11531614.439999999</v>
      </c>
      <c r="E34" s="224">
        <v>10946097</v>
      </c>
      <c r="F34">
        <v>4.2</v>
      </c>
      <c r="G34">
        <v>1.05</v>
      </c>
    </row>
    <row r="35" spans="1:7" x14ac:dyDescent="0.25">
      <c r="A35" t="s">
        <v>26</v>
      </c>
      <c r="B35" s="224">
        <v>124445693.39</v>
      </c>
      <c r="C35" s="224">
        <v>109598447.56</v>
      </c>
      <c r="D35" s="224">
        <v>5141991.54</v>
      </c>
      <c r="E35" s="224">
        <v>3545933</v>
      </c>
      <c r="F35">
        <v>4.1900000000000004</v>
      </c>
      <c r="G35">
        <v>1.45</v>
      </c>
    </row>
    <row r="36" spans="1:7" x14ac:dyDescent="0.25">
      <c r="A36" t="s">
        <v>27</v>
      </c>
      <c r="B36" s="224">
        <v>872347192</v>
      </c>
      <c r="C36" s="224">
        <v>794261309.60000002</v>
      </c>
      <c r="D36" s="224">
        <v>17287576.140000001</v>
      </c>
      <c r="E36" s="224">
        <v>19090913</v>
      </c>
      <c r="F36">
        <v>4.09</v>
      </c>
      <c r="G36">
        <v>0.91</v>
      </c>
    </row>
    <row r="37" spans="1:7" x14ac:dyDescent="0.25">
      <c r="A37" t="s">
        <v>32</v>
      </c>
      <c r="B37" s="224">
        <v>1194714205.73</v>
      </c>
      <c r="C37" s="224">
        <v>1086800636.95</v>
      </c>
      <c r="D37" s="224">
        <v>22060944.870000001</v>
      </c>
      <c r="E37" s="224">
        <v>26571929</v>
      </c>
      <c r="F37">
        <v>4.0599999999999996</v>
      </c>
      <c r="G37">
        <v>0.83</v>
      </c>
    </row>
    <row r="38" spans="1:7" x14ac:dyDescent="0.25">
      <c r="A38" t="s">
        <v>28</v>
      </c>
      <c r="B38" s="224">
        <v>1966895481</v>
      </c>
      <c r="C38" s="224">
        <v>1878382798.6300001</v>
      </c>
      <c r="D38" s="224">
        <v>21499986.25</v>
      </c>
      <c r="E38" s="224">
        <v>21788490</v>
      </c>
      <c r="F38">
        <v>4.0599999999999996</v>
      </c>
      <c r="G38">
        <v>0.99</v>
      </c>
    </row>
    <row r="39" spans="1:7" x14ac:dyDescent="0.25">
      <c r="A39" t="s">
        <v>39</v>
      </c>
      <c r="B39" s="224">
        <v>511163315.91000003</v>
      </c>
      <c r="C39" s="224">
        <v>468219559.33999997</v>
      </c>
      <c r="D39" s="224">
        <v>6777143.7999999998</v>
      </c>
      <c r="E39" s="224">
        <v>10598087</v>
      </c>
      <c r="F39">
        <v>4.05</v>
      </c>
      <c r="G39">
        <v>0.64</v>
      </c>
    </row>
    <row r="40" spans="1:7" x14ac:dyDescent="0.25">
      <c r="A40" t="s">
        <v>35</v>
      </c>
      <c r="B40" s="224">
        <v>813673223</v>
      </c>
      <c r="C40" s="224">
        <v>735066989.62</v>
      </c>
      <c r="D40" s="224">
        <v>12345257.49</v>
      </c>
      <c r="E40" s="224">
        <v>19453948</v>
      </c>
      <c r="F40">
        <v>4.04</v>
      </c>
      <c r="G40">
        <v>0.63</v>
      </c>
    </row>
    <row r="41" spans="1:7" x14ac:dyDescent="0.25">
      <c r="A41" t="s">
        <v>23</v>
      </c>
      <c r="B41" s="224">
        <v>1365257298.0599999</v>
      </c>
      <c r="C41" s="224">
        <v>1249076674.76</v>
      </c>
      <c r="D41" s="224">
        <v>57336463.579999998</v>
      </c>
      <c r="E41" s="224">
        <v>28988172</v>
      </c>
      <c r="F41">
        <v>4.01</v>
      </c>
      <c r="G41">
        <v>1.98</v>
      </c>
    </row>
    <row r="42" spans="1:7" x14ac:dyDescent="0.25">
      <c r="A42" t="s">
        <v>25</v>
      </c>
      <c r="B42" s="224">
        <v>271317340</v>
      </c>
      <c r="C42" s="224">
        <v>248154893.91</v>
      </c>
      <c r="D42" s="224">
        <v>7728494.79</v>
      </c>
      <c r="E42" s="224">
        <v>6196840</v>
      </c>
      <c r="F42">
        <v>3.74</v>
      </c>
      <c r="G42">
        <v>1.25</v>
      </c>
    </row>
    <row r="43" spans="1:7" x14ac:dyDescent="0.25">
      <c r="A43" t="s">
        <v>40</v>
      </c>
      <c r="B43" s="224">
        <v>208940278.25</v>
      </c>
      <c r="C43" s="224">
        <v>187649626.08000001</v>
      </c>
      <c r="D43" s="224">
        <v>7742212.4299999997</v>
      </c>
      <c r="E43" s="224">
        <v>5755637</v>
      </c>
      <c r="F43">
        <v>3.7</v>
      </c>
      <c r="G43">
        <v>1.35</v>
      </c>
    </row>
    <row r="44" spans="1:7" x14ac:dyDescent="0.25">
      <c r="A44" t="s">
        <v>47</v>
      </c>
      <c r="B44" s="224">
        <v>107063879</v>
      </c>
      <c r="C44" s="224">
        <v>97261620.599999994</v>
      </c>
      <c r="D44" s="224">
        <v>1909227.54</v>
      </c>
      <c r="E44" s="224">
        <v>2669761</v>
      </c>
      <c r="F44">
        <v>3.67</v>
      </c>
      <c r="G44">
        <v>0.72</v>
      </c>
    </row>
    <row r="45" spans="1:7" x14ac:dyDescent="0.25">
      <c r="A45" t="s">
        <v>44</v>
      </c>
      <c r="B45" s="224">
        <v>307409614.24000001</v>
      </c>
      <c r="C45" s="224">
        <v>282349391.45999998</v>
      </c>
      <c r="D45" s="224">
        <v>4509252.93</v>
      </c>
      <c r="E45" s="224">
        <v>6878551</v>
      </c>
      <c r="F45">
        <v>3.64</v>
      </c>
      <c r="G45">
        <v>0.66</v>
      </c>
    </row>
    <row r="46" spans="1:7" x14ac:dyDescent="0.25">
      <c r="A46" t="s">
        <v>30</v>
      </c>
      <c r="B46" s="224">
        <v>1042589157.45</v>
      </c>
      <c r="C46" s="224">
        <v>970890377.20000005</v>
      </c>
      <c r="D46" s="224">
        <v>19832109.16</v>
      </c>
      <c r="E46" s="224">
        <v>20158365</v>
      </c>
      <c r="F46">
        <v>3.56</v>
      </c>
      <c r="G46">
        <v>0.98</v>
      </c>
    </row>
    <row r="47" spans="1:7" x14ac:dyDescent="0.25">
      <c r="A47" t="s">
        <v>36</v>
      </c>
      <c r="B47" s="224">
        <v>402118853.93000001</v>
      </c>
      <c r="C47" s="224">
        <v>369451794.64999998</v>
      </c>
      <c r="D47" s="224">
        <v>6639968.3099999996</v>
      </c>
      <c r="E47" s="224">
        <v>9522686</v>
      </c>
      <c r="F47">
        <v>3.43</v>
      </c>
      <c r="G47">
        <v>0.7</v>
      </c>
    </row>
    <row r="48" spans="1:7" x14ac:dyDescent="0.25">
      <c r="A48" t="s">
        <v>33</v>
      </c>
      <c r="B48" s="224">
        <v>1033187132</v>
      </c>
      <c r="C48" s="224">
        <v>957122951.54999995</v>
      </c>
      <c r="D48" s="224">
        <v>22629375.100000001</v>
      </c>
      <c r="E48" s="224">
        <v>22862412</v>
      </c>
      <c r="F48">
        <v>3.33</v>
      </c>
      <c r="G48">
        <v>0.99</v>
      </c>
    </row>
    <row r="49" spans="1:8" x14ac:dyDescent="0.25">
      <c r="A49" t="s">
        <v>37</v>
      </c>
      <c r="B49" s="224">
        <v>190999038.36000001</v>
      </c>
      <c r="C49" s="224">
        <v>179600132.06999999</v>
      </c>
      <c r="D49" s="224">
        <v>5777246.7699999996</v>
      </c>
      <c r="E49" s="224">
        <v>3551615</v>
      </c>
      <c r="F49">
        <v>3.21</v>
      </c>
      <c r="G49">
        <v>1.63</v>
      </c>
    </row>
    <row r="50" spans="1:8" x14ac:dyDescent="0.25">
      <c r="A50" t="s">
        <v>51</v>
      </c>
      <c r="B50" s="224">
        <v>1083940953</v>
      </c>
      <c r="C50" s="224">
        <v>1006670882.92</v>
      </c>
      <c r="D50" s="224">
        <v>19386437.800000001</v>
      </c>
      <c r="E50" s="224">
        <v>24208645</v>
      </c>
      <c r="F50">
        <v>3.19</v>
      </c>
      <c r="G50">
        <v>0.8</v>
      </c>
      <c r="H50" t="s">
        <v>311</v>
      </c>
    </row>
    <row r="51" spans="1:8" x14ac:dyDescent="0.25">
      <c r="A51" t="s">
        <v>55</v>
      </c>
      <c r="B51" s="224">
        <v>689945660</v>
      </c>
      <c r="C51" s="224">
        <v>642578103.62</v>
      </c>
      <c r="D51" s="224">
        <v>9028561.3599999994</v>
      </c>
      <c r="E51" s="224">
        <v>14901309</v>
      </c>
      <c r="F51">
        <v>3.18</v>
      </c>
      <c r="G51">
        <v>0.61</v>
      </c>
    </row>
    <row r="52" spans="1:8" x14ac:dyDescent="0.25">
      <c r="A52" t="s">
        <v>46</v>
      </c>
      <c r="B52" s="224">
        <v>321862947.48000002</v>
      </c>
      <c r="C52" s="224">
        <v>298331380.38999999</v>
      </c>
      <c r="D52" s="224">
        <v>8227209.8899999997</v>
      </c>
      <c r="E52" s="224">
        <v>7416560</v>
      </c>
      <c r="F52">
        <v>3.17</v>
      </c>
      <c r="G52">
        <v>1.1100000000000001</v>
      </c>
    </row>
    <row r="53" spans="1:8" x14ac:dyDescent="0.25">
      <c r="A53" t="s">
        <v>34</v>
      </c>
      <c r="B53" s="224">
        <v>1468177330.9100001</v>
      </c>
      <c r="C53" s="224">
        <v>1374672057.6900001</v>
      </c>
      <c r="D53" s="224">
        <v>47717441.640000001</v>
      </c>
      <c r="E53" s="224">
        <v>29748591</v>
      </c>
      <c r="F53">
        <v>3.14</v>
      </c>
      <c r="G53">
        <v>1.6</v>
      </c>
      <c r="H53" t="s">
        <v>311</v>
      </c>
    </row>
    <row r="54" spans="1:8" x14ac:dyDescent="0.25">
      <c r="A54" t="s">
        <v>49</v>
      </c>
      <c r="B54" s="224">
        <v>1263148065.8299999</v>
      </c>
      <c r="C54" s="224">
        <v>1188965685.6400001</v>
      </c>
      <c r="D54" s="224">
        <v>19013331.52</v>
      </c>
      <c r="E54" s="224">
        <v>23759923</v>
      </c>
      <c r="F54">
        <v>3.12</v>
      </c>
      <c r="G54">
        <v>0.8</v>
      </c>
    </row>
    <row r="55" spans="1:8" x14ac:dyDescent="0.25">
      <c r="A55" t="s">
        <v>50</v>
      </c>
      <c r="B55" s="224">
        <v>1683242657.0699999</v>
      </c>
      <c r="C55" s="224">
        <v>1555709963.47</v>
      </c>
      <c r="D55" s="224">
        <v>31123512.629999999</v>
      </c>
      <c r="E55" s="224">
        <v>40945091</v>
      </c>
      <c r="F55">
        <v>3.11</v>
      </c>
      <c r="G55">
        <v>0.76</v>
      </c>
    </row>
    <row r="56" spans="1:8" x14ac:dyDescent="0.25">
      <c r="A56" t="s">
        <v>41</v>
      </c>
      <c r="B56" s="224">
        <v>1276422533.53</v>
      </c>
      <c r="C56" s="224">
        <v>1127988965.48</v>
      </c>
      <c r="D56" s="224">
        <v>41093778.899999999</v>
      </c>
      <c r="E56" s="224">
        <v>47644860</v>
      </c>
      <c r="F56">
        <v>3.12</v>
      </c>
      <c r="G56">
        <v>0.86</v>
      </c>
    </row>
    <row r="57" spans="1:8" x14ac:dyDescent="0.25">
      <c r="A57" t="s">
        <v>45</v>
      </c>
      <c r="B57" s="224">
        <v>2041893568.29</v>
      </c>
      <c r="C57" s="224">
        <v>1917118641.9400001</v>
      </c>
      <c r="D57" s="224">
        <v>40904618.009999998</v>
      </c>
      <c r="E57" s="224">
        <v>40828727</v>
      </c>
      <c r="F57">
        <v>3.06</v>
      </c>
      <c r="G57">
        <v>1</v>
      </c>
    </row>
    <row r="58" spans="1:8" x14ac:dyDescent="0.25">
      <c r="A58" t="s">
        <v>29</v>
      </c>
      <c r="B58" s="224">
        <v>817050825.05999994</v>
      </c>
      <c r="C58" s="224">
        <v>764329888.75999999</v>
      </c>
      <c r="D58" s="224">
        <v>26807112.43</v>
      </c>
      <c r="E58" s="224">
        <v>17644408</v>
      </c>
      <c r="F58">
        <v>2.99</v>
      </c>
      <c r="G58">
        <v>1.52</v>
      </c>
    </row>
    <row r="59" spans="1:8" x14ac:dyDescent="0.25">
      <c r="A59" t="s">
        <v>43</v>
      </c>
      <c r="B59" s="224">
        <v>259883413</v>
      </c>
      <c r="C59" s="224">
        <v>243099732.75</v>
      </c>
      <c r="D59" s="224">
        <v>7717405.2699999996</v>
      </c>
      <c r="E59" s="224">
        <v>5643956</v>
      </c>
      <c r="F59">
        <v>2.97</v>
      </c>
      <c r="G59">
        <v>1.37</v>
      </c>
    </row>
    <row r="60" spans="1:8" x14ac:dyDescent="0.25">
      <c r="A60" t="s">
        <v>38</v>
      </c>
      <c r="B60" s="224">
        <v>542289730.02999997</v>
      </c>
      <c r="C60" s="224">
        <v>502461623.97000003</v>
      </c>
      <c r="D60" s="224">
        <v>12280759.24</v>
      </c>
      <c r="E60" s="224">
        <v>13960891</v>
      </c>
      <c r="F60">
        <v>2.85</v>
      </c>
      <c r="G60">
        <v>0.88</v>
      </c>
    </row>
    <row r="61" spans="1:8" x14ac:dyDescent="0.25">
      <c r="A61" t="s">
        <v>56</v>
      </c>
      <c r="B61" s="224">
        <v>1182377479</v>
      </c>
      <c r="C61" s="224">
        <v>1105588425</v>
      </c>
      <c r="D61" s="224">
        <v>23583511.420000002</v>
      </c>
      <c r="E61" s="224">
        <v>27472066</v>
      </c>
      <c r="F61">
        <v>2.8</v>
      </c>
      <c r="G61">
        <v>0.86</v>
      </c>
    </row>
    <row r="62" spans="1:8" x14ac:dyDescent="0.25">
      <c r="A62" t="s">
        <v>52</v>
      </c>
      <c r="B62" s="224">
        <v>535148479</v>
      </c>
      <c r="C62" s="224">
        <v>500188900.70999998</v>
      </c>
      <c r="D62" s="224">
        <v>10895871.939999999</v>
      </c>
      <c r="E62" s="224">
        <v>13099382</v>
      </c>
      <c r="F62">
        <v>2.67</v>
      </c>
      <c r="G62">
        <v>0.83</v>
      </c>
    </row>
    <row r="63" spans="1:8" x14ac:dyDescent="0.25">
      <c r="A63" t="s">
        <v>64</v>
      </c>
      <c r="B63" s="224">
        <v>355494147</v>
      </c>
      <c r="C63" s="224">
        <v>330781197.51999998</v>
      </c>
      <c r="D63" s="224">
        <v>8495625.0399999991</v>
      </c>
      <c r="E63" s="224">
        <v>9435207</v>
      </c>
      <c r="F63">
        <v>2.62</v>
      </c>
      <c r="G63">
        <v>0.9</v>
      </c>
    </row>
    <row r="64" spans="1:8" x14ac:dyDescent="0.25">
      <c r="A64" t="s">
        <v>63</v>
      </c>
      <c r="B64" s="224">
        <v>1340428223.5599999</v>
      </c>
      <c r="C64" s="224">
        <v>1261888114.1700001</v>
      </c>
      <c r="D64" s="224">
        <v>21950011.050000001</v>
      </c>
      <c r="E64" s="224">
        <v>30689455</v>
      </c>
      <c r="F64">
        <v>2.56</v>
      </c>
      <c r="G64">
        <v>0.72</v>
      </c>
    </row>
    <row r="65" spans="1:9" x14ac:dyDescent="0.25">
      <c r="A65" t="s">
        <v>53</v>
      </c>
      <c r="B65" s="224">
        <v>2950491414.54</v>
      </c>
      <c r="C65" s="224">
        <v>2770868203.1599998</v>
      </c>
      <c r="D65" s="224">
        <v>64890439.719999999</v>
      </c>
      <c r="E65" s="224">
        <v>71178309</v>
      </c>
      <c r="F65">
        <v>2.52</v>
      </c>
      <c r="G65">
        <v>0.91</v>
      </c>
    </row>
    <row r="66" spans="1:9" x14ac:dyDescent="0.25">
      <c r="A66" t="s">
        <v>61</v>
      </c>
      <c r="B66" s="224">
        <v>1108314599.5</v>
      </c>
      <c r="C66" s="224">
        <v>1051787730.76</v>
      </c>
      <c r="D66" s="224">
        <v>19663777.59</v>
      </c>
      <c r="E66" s="224">
        <v>23039495</v>
      </c>
      <c r="F66">
        <v>2.4500000000000002</v>
      </c>
      <c r="G66">
        <v>0.85</v>
      </c>
    </row>
    <row r="67" spans="1:9" x14ac:dyDescent="0.25">
      <c r="A67" t="s">
        <v>58</v>
      </c>
      <c r="B67" s="224">
        <v>1227877221</v>
      </c>
      <c r="C67" s="224">
        <v>1173073111.6700001</v>
      </c>
      <c r="D67" s="224">
        <v>18369911.34</v>
      </c>
      <c r="E67" s="224">
        <v>22761731</v>
      </c>
      <c r="F67">
        <v>2.41</v>
      </c>
      <c r="G67">
        <v>0.81</v>
      </c>
    </row>
    <row r="68" spans="1:9" x14ac:dyDescent="0.25">
      <c r="A68" t="s">
        <v>60</v>
      </c>
      <c r="B68" s="224">
        <v>351543186.45999998</v>
      </c>
      <c r="C68" s="224">
        <v>331141661.24000001</v>
      </c>
      <c r="D68" s="224">
        <v>6911736.5199999996</v>
      </c>
      <c r="E68" s="224">
        <v>8658249</v>
      </c>
      <c r="F68">
        <v>2.36</v>
      </c>
      <c r="G68">
        <v>0.8</v>
      </c>
    </row>
    <row r="69" spans="1:9" x14ac:dyDescent="0.25">
      <c r="A69" t="s">
        <v>59</v>
      </c>
      <c r="B69" s="224">
        <v>285086766</v>
      </c>
      <c r="C69" s="224">
        <v>268263878</v>
      </c>
      <c r="D69" s="224">
        <v>5906470.9699999997</v>
      </c>
      <c r="E69" s="224">
        <v>7485780</v>
      </c>
      <c r="F69">
        <v>2.25</v>
      </c>
      <c r="G69">
        <v>0.79</v>
      </c>
    </row>
    <row r="70" spans="1:9" x14ac:dyDescent="0.25">
      <c r="A70" t="s">
        <v>62</v>
      </c>
      <c r="B70" s="224">
        <v>699328036.19000006</v>
      </c>
      <c r="C70" s="224">
        <v>669768620.42999995</v>
      </c>
      <c r="D70" s="224">
        <v>12098860.640000001</v>
      </c>
      <c r="E70" s="224">
        <v>14024709</v>
      </c>
      <c r="F70">
        <v>2.11</v>
      </c>
      <c r="G70">
        <v>0.86</v>
      </c>
    </row>
    <row r="71" spans="1:9" x14ac:dyDescent="0.25">
      <c r="A71" t="s">
        <v>48</v>
      </c>
      <c r="B71" s="224">
        <v>557171086.30999994</v>
      </c>
      <c r="C71" s="224">
        <v>532623973.91000003</v>
      </c>
      <c r="D71" s="224">
        <v>15862495.1</v>
      </c>
      <c r="E71" s="224">
        <v>11761407</v>
      </c>
      <c r="F71">
        <v>2.09</v>
      </c>
      <c r="G71">
        <v>1.35</v>
      </c>
    </row>
    <row r="72" spans="1:9" x14ac:dyDescent="0.25">
      <c r="A72" t="s">
        <v>54</v>
      </c>
      <c r="B72" s="224">
        <v>1428807757.99</v>
      </c>
      <c r="C72" s="224">
        <v>1358503146.6800001</v>
      </c>
      <c r="D72" s="224">
        <v>46516013.880000003</v>
      </c>
      <c r="E72" s="224">
        <v>34424780</v>
      </c>
      <c r="F72">
        <v>2.04</v>
      </c>
      <c r="G72">
        <v>1.35</v>
      </c>
    </row>
    <row r="73" spans="1:9" x14ac:dyDescent="0.25">
      <c r="A73" t="s">
        <v>66</v>
      </c>
      <c r="B73" s="224">
        <v>1985336227.8699999</v>
      </c>
      <c r="C73" s="224">
        <v>1894004960.3399999</v>
      </c>
      <c r="D73" s="224">
        <v>42823110.950000003</v>
      </c>
      <c r="E73" s="224">
        <v>45588088</v>
      </c>
      <c r="F73">
        <v>2</v>
      </c>
      <c r="G73">
        <v>0.94</v>
      </c>
    </row>
    <row r="74" spans="1:9" x14ac:dyDescent="0.25">
      <c r="A74" t="s">
        <v>67</v>
      </c>
      <c r="B74" s="224">
        <v>1110426785</v>
      </c>
      <c r="C74" s="224">
        <v>1056194841.21</v>
      </c>
      <c r="D74" s="224">
        <v>22894791.32</v>
      </c>
      <c r="E74" s="224">
        <v>27485501</v>
      </c>
      <c r="F74">
        <v>1.97</v>
      </c>
      <c r="G74">
        <v>0.83</v>
      </c>
    </row>
    <row r="75" spans="1:9" x14ac:dyDescent="0.25">
      <c r="A75" t="s">
        <v>57</v>
      </c>
      <c r="B75" s="224">
        <v>101611843</v>
      </c>
      <c r="C75" s="224">
        <v>96103461.560000002</v>
      </c>
      <c r="D75" s="224">
        <v>3484153.46</v>
      </c>
      <c r="E75" s="224">
        <v>2910779</v>
      </c>
      <c r="F75">
        <v>1.89</v>
      </c>
      <c r="G75">
        <v>1.2</v>
      </c>
    </row>
    <row r="76" spans="1:9" x14ac:dyDescent="0.25">
      <c r="A76" t="s">
        <v>68</v>
      </c>
      <c r="B76" s="224">
        <v>509113932</v>
      </c>
      <c r="C76" s="224">
        <v>487377146.81</v>
      </c>
      <c r="D76" s="224">
        <v>11593702.289999999</v>
      </c>
      <c r="E76" s="224">
        <v>11867952</v>
      </c>
      <c r="F76">
        <v>1.83</v>
      </c>
      <c r="G76">
        <v>0.98</v>
      </c>
    </row>
    <row r="77" spans="1:9" x14ac:dyDescent="0.25">
      <c r="A77" t="s">
        <v>65</v>
      </c>
      <c r="B77" s="224">
        <v>398824318</v>
      </c>
      <c r="C77" s="224">
        <v>382168474.32999998</v>
      </c>
      <c r="D77" s="224">
        <v>10894045.449999999</v>
      </c>
      <c r="E77" s="224">
        <v>9664284</v>
      </c>
      <c r="F77">
        <v>1.72</v>
      </c>
      <c r="G77">
        <v>1.1299999999999999</v>
      </c>
    </row>
    <row r="78" spans="1:9" x14ac:dyDescent="0.25">
      <c r="A78" t="s">
        <v>69</v>
      </c>
      <c r="B78" s="224">
        <v>243764651</v>
      </c>
      <c r="C78" s="224">
        <v>234765473.88999999</v>
      </c>
      <c r="D78" s="224">
        <v>5196117.1900000004</v>
      </c>
      <c r="E78" s="224">
        <v>5561418</v>
      </c>
      <c r="F78">
        <v>1.62</v>
      </c>
      <c r="G78">
        <v>0.93</v>
      </c>
    </row>
    <row r="79" spans="1:9" x14ac:dyDescent="0.25">
      <c r="A79" t="s">
        <v>70</v>
      </c>
      <c r="B79" s="224">
        <v>78247436</v>
      </c>
      <c r="C79" s="224">
        <v>74540708.090000004</v>
      </c>
      <c r="D79" s="224">
        <v>2663576.81</v>
      </c>
      <c r="E79" s="224">
        <v>2776815</v>
      </c>
      <c r="F79">
        <v>1.33</v>
      </c>
      <c r="G79">
        <v>0.96</v>
      </c>
    </row>
    <row r="80" spans="1:9" x14ac:dyDescent="0.25">
      <c r="A80" t="s">
        <v>290</v>
      </c>
      <c r="B80" t="s">
        <v>290</v>
      </c>
      <c r="C80" t="s">
        <v>291</v>
      </c>
      <c r="D80" t="s">
        <v>291</v>
      </c>
      <c r="E80" t="s">
        <v>291</v>
      </c>
      <c r="F80" t="s">
        <v>292</v>
      </c>
      <c r="G80" t="s">
        <v>290</v>
      </c>
      <c r="H80" t="s">
        <v>293</v>
      </c>
      <c r="I80" t="s">
        <v>294</v>
      </c>
    </row>
    <row r="81" spans="1:7" x14ac:dyDescent="0.25">
      <c r="A81" t="s">
        <v>209</v>
      </c>
      <c r="B81" s="224">
        <v>44036420836.440002</v>
      </c>
      <c r="C81" s="224">
        <v>40838851898.900002</v>
      </c>
      <c r="D81" s="224">
        <v>948506069.75</v>
      </c>
      <c r="E81" s="224">
        <v>983785270</v>
      </c>
      <c r="F81">
        <v>3.25</v>
      </c>
      <c r="G81">
        <v>0.96</v>
      </c>
    </row>
  </sheetData>
  <conditionalFormatting sqref="F7:F12 AY16 G11:BC12">
    <cfRule type="containsText" dxfId="1" priority="4" stopIfTrue="1" operator="containsText" text="OK">
      <formula>NOT(ISERROR(SEARCH("OK",F7)))</formula>
    </cfRule>
  </conditionalFormatting>
  <conditionalFormatting sqref="F7:F12 G11:BC12">
    <cfRule type="notContainsText" dxfId="0" priority="1" stopIfTrue="1" operator="notContains" text="OK">
      <formula>ISERROR(SEARCH("OK",F7))</formula>
    </cfRule>
  </conditionalFormatting>
  <pageMargins left="0.7" right="0.7" top="0.75" bottom="0.75" header="0.3" footer="0.3"/>
  <pageSetup orientation="portrait" r:id="rId1"/>
  <ignoredErrors>
    <ignoredError sqref="AR11"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1CC49-07DF-4F62-90AA-0DE404D60AF4}">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78</v>
      </c>
      <c r="B1" s="178" t="s">
        <v>79</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1115197398.45</v>
      </c>
      <c r="C3" s="13">
        <v>976087249.84000003</v>
      </c>
      <c r="D3" s="13">
        <v>139110148.61000001</v>
      </c>
      <c r="E3" s="13">
        <v>8306107.29</v>
      </c>
      <c r="F3" s="13">
        <v>26165562</v>
      </c>
      <c r="G3" s="14">
        <v>5.32</v>
      </c>
      <c r="H3" s="14">
        <v>0.32</v>
      </c>
      <c r="I3" s="13">
        <v>692175.60750000004</v>
      </c>
      <c r="J3" s="15">
        <v>9</v>
      </c>
      <c r="K3" s="13">
        <v>132880568.14250001</v>
      </c>
      <c r="L3" s="13">
        <v>9642113.8455555569</v>
      </c>
      <c r="M3" s="13">
        <v>8188471.5122222239</v>
      </c>
      <c r="N3" s="179">
        <v>43647</v>
      </c>
      <c r="O3" s="16">
        <v>45474</v>
      </c>
      <c r="P3" s="13">
        <v>476927.77</v>
      </c>
      <c r="Q3" s="223" t="e">
        <v>#VALUE!</v>
      </c>
    </row>
    <row r="4" spans="1:17" x14ac:dyDescent="0.2">
      <c r="A4" s="4" t="s">
        <v>21</v>
      </c>
      <c r="B4" s="13">
        <v>1742322911.3599999</v>
      </c>
      <c r="C4" s="13">
        <v>1513911077.1099999</v>
      </c>
      <c r="D4" s="13">
        <v>228411834.25</v>
      </c>
      <c r="E4" s="13">
        <v>30348099.969999999</v>
      </c>
      <c r="F4" s="13">
        <v>46308393</v>
      </c>
      <c r="G4" s="14">
        <v>4.93</v>
      </c>
      <c r="H4" s="14">
        <v>0.66</v>
      </c>
      <c r="I4" s="13">
        <v>2529008.3308333331</v>
      </c>
      <c r="J4" s="15">
        <v>3</v>
      </c>
      <c r="K4" s="13">
        <v>220824809.25749999</v>
      </c>
      <c r="L4" s="13">
        <v>45265016.083333336</v>
      </c>
      <c r="M4" s="13">
        <v>37546950.583333336</v>
      </c>
      <c r="N4" s="179">
        <v>43831</v>
      </c>
      <c r="O4" s="16">
        <v>45292</v>
      </c>
      <c r="P4" s="13">
        <v>2631939.23</v>
      </c>
      <c r="Q4" s="222" t="e">
        <v>#VALUE!</v>
      </c>
    </row>
    <row r="5" spans="1:17" x14ac:dyDescent="0.2">
      <c r="A5" s="4" t="s">
        <v>22</v>
      </c>
      <c r="B5" s="13">
        <v>694863312.32000005</v>
      </c>
      <c r="C5" s="13">
        <v>626660390.94000006</v>
      </c>
      <c r="D5" s="13">
        <v>68202921.379999995</v>
      </c>
      <c r="E5" s="13">
        <v>12451520.380000001</v>
      </c>
      <c r="F5" s="13">
        <v>14211637</v>
      </c>
      <c r="G5" s="14">
        <v>4.8</v>
      </c>
      <c r="H5" s="14">
        <v>0.88</v>
      </c>
      <c r="I5" s="13">
        <v>1037626.6983333334</v>
      </c>
      <c r="J5" s="15">
        <v>9</v>
      </c>
      <c r="K5" s="13">
        <v>58864281.094999999</v>
      </c>
      <c r="L5" s="13">
        <v>4419960.8199999994</v>
      </c>
      <c r="M5" s="13">
        <v>3630425.4311111104</v>
      </c>
      <c r="N5" s="179">
        <v>43647</v>
      </c>
      <c r="O5" s="16">
        <v>45474</v>
      </c>
      <c r="P5" s="13">
        <v>1706607.75</v>
      </c>
      <c r="Q5" s="222" t="e">
        <v>#VALUE!</v>
      </c>
    </row>
    <row r="6" spans="1:17" x14ac:dyDescent="0.2">
      <c r="A6" s="4" t="s">
        <v>23</v>
      </c>
      <c r="B6" s="13">
        <v>1307199339.74</v>
      </c>
      <c r="C6" s="13">
        <v>1175334835.54</v>
      </c>
      <c r="D6" s="13">
        <v>131864504.20000005</v>
      </c>
      <c r="E6" s="13">
        <v>14929252.359999999</v>
      </c>
      <c r="F6" s="13">
        <v>29464578</v>
      </c>
      <c r="G6" s="14">
        <v>4.4800000000000004</v>
      </c>
      <c r="H6" s="14">
        <v>0.51</v>
      </c>
      <c r="I6" s="13">
        <v>1244104.3633333333</v>
      </c>
      <c r="J6" s="15">
        <v>3</v>
      </c>
      <c r="K6" s="13">
        <v>128132191.11000004</v>
      </c>
      <c r="L6" s="13">
        <v>24311782.733333349</v>
      </c>
      <c r="M6" s="13">
        <v>19401019.733333349</v>
      </c>
      <c r="N6" s="179">
        <v>43831</v>
      </c>
      <c r="O6" s="16">
        <v>45292</v>
      </c>
      <c r="P6" s="13">
        <v>1582006.76</v>
      </c>
      <c r="Q6" s="222" t="e">
        <v>#VALUE!</v>
      </c>
    </row>
    <row r="7" spans="1:17" x14ac:dyDescent="0.2">
      <c r="A7" s="4" t="s">
        <v>24</v>
      </c>
      <c r="B7" s="13">
        <v>1436169229.97</v>
      </c>
      <c r="C7" s="13">
        <v>1290322151.6700001</v>
      </c>
      <c r="D7" s="13">
        <v>145847078.29999995</v>
      </c>
      <c r="E7" s="13">
        <v>29064972.43</v>
      </c>
      <c r="F7" s="13">
        <v>33783046</v>
      </c>
      <c r="G7" s="14">
        <v>4.32</v>
      </c>
      <c r="H7" s="14">
        <v>0.86</v>
      </c>
      <c r="I7" s="13">
        <v>2422081.0358333332</v>
      </c>
      <c r="J7" s="15">
        <v>9</v>
      </c>
      <c r="K7" s="13">
        <v>124048348.97749996</v>
      </c>
      <c r="L7" s="13">
        <v>8697887.3666666616</v>
      </c>
      <c r="M7" s="13">
        <v>6821051.4777777726</v>
      </c>
      <c r="N7" s="179">
        <v>43647</v>
      </c>
      <c r="O7" s="16">
        <v>45474</v>
      </c>
      <c r="P7" s="13">
        <v>2014964.3</v>
      </c>
      <c r="Q7" s="222" t="e">
        <v>#VALUE!</v>
      </c>
    </row>
    <row r="8" spans="1:17" x14ac:dyDescent="0.2">
      <c r="A8" s="4" t="s">
        <v>25</v>
      </c>
      <c r="B8" s="13">
        <v>258947994</v>
      </c>
      <c r="C8" s="13">
        <v>232037159.52000001</v>
      </c>
      <c r="D8" s="13">
        <v>26910834.479999989</v>
      </c>
      <c r="E8" s="13">
        <v>4967296.68</v>
      </c>
      <c r="F8" s="13">
        <v>6541090</v>
      </c>
      <c r="G8" s="14">
        <v>4.1100000000000003</v>
      </c>
      <c r="H8" s="14">
        <v>0.76</v>
      </c>
      <c r="I8" s="13">
        <v>413941.38999999996</v>
      </c>
      <c r="J8" s="15">
        <v>6</v>
      </c>
      <c r="K8" s="13">
        <v>24427186.139999989</v>
      </c>
      <c r="L8" s="13">
        <v>2304775.7466666647</v>
      </c>
      <c r="M8" s="13">
        <v>1759684.9133333315</v>
      </c>
      <c r="N8" s="179">
        <v>43922</v>
      </c>
      <c r="O8" s="16">
        <v>45383</v>
      </c>
      <c r="P8" s="13">
        <v>200144.03</v>
      </c>
      <c r="Q8" s="222" t="e">
        <v>#VALUE!</v>
      </c>
    </row>
    <row r="9" spans="1:17" x14ac:dyDescent="0.2">
      <c r="A9" s="4" t="s">
        <v>26</v>
      </c>
      <c r="B9" s="13">
        <v>117378745.39</v>
      </c>
      <c r="C9" s="13">
        <v>103763105.87</v>
      </c>
      <c r="D9" s="13">
        <v>13615639.519999996</v>
      </c>
      <c r="E9" s="13">
        <v>1284898.21</v>
      </c>
      <c r="F9" s="13">
        <v>3536351</v>
      </c>
      <c r="G9" s="14">
        <v>3.85</v>
      </c>
      <c r="H9" s="14">
        <v>0.36</v>
      </c>
      <c r="I9" s="13">
        <v>107074.85083333333</v>
      </c>
      <c r="J9" s="15">
        <v>3</v>
      </c>
      <c r="K9" s="13">
        <v>13294414.967499996</v>
      </c>
      <c r="L9" s="13">
        <v>2180979.1733333319</v>
      </c>
      <c r="M9" s="13">
        <v>1591587.3399999987</v>
      </c>
      <c r="N9" s="179">
        <v>43831</v>
      </c>
      <c r="O9" s="16">
        <v>45292</v>
      </c>
      <c r="P9" s="13">
        <v>239359.25</v>
      </c>
      <c r="Q9" s="222" t="e">
        <v>#VALUE!</v>
      </c>
    </row>
    <row r="10" spans="1:17" x14ac:dyDescent="0.2">
      <c r="A10" s="4" t="s">
        <v>27</v>
      </c>
      <c r="B10" s="13">
        <v>834419812</v>
      </c>
      <c r="C10" s="13">
        <v>763395956.79999995</v>
      </c>
      <c r="D10" s="13">
        <v>71023855.200000048</v>
      </c>
      <c r="E10" s="13">
        <v>14587344.960000001</v>
      </c>
      <c r="F10" s="13">
        <v>18835586</v>
      </c>
      <c r="G10" s="14">
        <v>3.77</v>
      </c>
      <c r="H10" s="14">
        <v>0.77</v>
      </c>
      <c r="I10" s="13">
        <v>1215612.08</v>
      </c>
      <c r="J10" s="15">
        <v>0</v>
      </c>
      <c r="K10" s="13">
        <v>71023855.200000048</v>
      </c>
      <c r="L10" s="13" t="s">
        <v>20</v>
      </c>
      <c r="M10" s="13" t="s">
        <v>20</v>
      </c>
      <c r="N10" s="179">
        <v>43739</v>
      </c>
      <c r="O10" s="16">
        <v>45200</v>
      </c>
      <c r="P10" s="13">
        <v>2389680.0299999998</v>
      </c>
      <c r="Q10" s="222" t="e">
        <v>#VALUE!</v>
      </c>
    </row>
    <row r="11" spans="1:17" x14ac:dyDescent="0.2">
      <c r="A11" s="4" t="s">
        <v>31</v>
      </c>
      <c r="B11" s="13">
        <v>482520235</v>
      </c>
      <c r="C11" s="13">
        <v>441381614.12</v>
      </c>
      <c r="D11" s="13">
        <v>41138620.879999995</v>
      </c>
      <c r="E11" s="13">
        <v>7771275.2400000002</v>
      </c>
      <c r="F11" s="13">
        <v>11231021</v>
      </c>
      <c r="G11" s="14">
        <v>3.66</v>
      </c>
      <c r="H11" s="14">
        <v>0.69</v>
      </c>
      <c r="I11" s="13">
        <v>647606.27</v>
      </c>
      <c r="J11" s="15">
        <v>3</v>
      </c>
      <c r="K11" s="13">
        <v>39195802.069999993</v>
      </c>
      <c r="L11" s="13">
        <v>6225526.2933333321</v>
      </c>
      <c r="M11" s="13">
        <v>4353689.4599999981</v>
      </c>
      <c r="N11" s="179">
        <v>43831</v>
      </c>
      <c r="O11" s="16">
        <v>45292</v>
      </c>
      <c r="P11" s="13">
        <v>82130.03</v>
      </c>
      <c r="Q11" s="222" t="e">
        <v>#VALUE!</v>
      </c>
    </row>
    <row r="12" spans="1:17" x14ac:dyDescent="0.2">
      <c r="A12" s="4" t="s">
        <v>29</v>
      </c>
      <c r="B12" s="13">
        <v>782983569.92999995</v>
      </c>
      <c r="C12" s="13">
        <v>718022897.00999999</v>
      </c>
      <c r="D12" s="13">
        <v>64960672.919999957</v>
      </c>
      <c r="E12" s="13">
        <v>13416132.85</v>
      </c>
      <c r="F12" s="13">
        <v>17807834</v>
      </c>
      <c r="G12" s="14">
        <v>3.65</v>
      </c>
      <c r="H12" s="14">
        <v>0.75</v>
      </c>
      <c r="I12" s="13">
        <v>1118011.0708333333</v>
      </c>
      <c r="J12" s="15">
        <v>9</v>
      </c>
      <c r="K12" s="13">
        <v>54898573.282499954</v>
      </c>
      <c r="L12" s="13">
        <v>3260556.1022222172</v>
      </c>
      <c r="M12" s="13">
        <v>2271231.9911111062</v>
      </c>
      <c r="N12" s="179">
        <v>43647</v>
      </c>
      <c r="O12" s="16">
        <v>45474</v>
      </c>
      <c r="P12" s="13">
        <v>1145525.82</v>
      </c>
      <c r="Q12" s="222" t="e">
        <v>#VALUE!</v>
      </c>
    </row>
    <row r="13" spans="1:17" x14ac:dyDescent="0.2">
      <c r="A13" s="4" t="s">
        <v>28</v>
      </c>
      <c r="B13" s="13">
        <v>1922975437</v>
      </c>
      <c r="C13" s="13">
        <v>1842816222.5999999</v>
      </c>
      <c r="D13" s="13">
        <v>80159214.400000095</v>
      </c>
      <c r="E13" s="13">
        <v>22842161.960000001</v>
      </c>
      <c r="F13" s="13">
        <v>22385506</v>
      </c>
      <c r="G13" s="14">
        <v>3.58</v>
      </c>
      <c r="H13" s="14">
        <v>1.02</v>
      </c>
      <c r="I13" s="13">
        <v>1903513.4966666668</v>
      </c>
      <c r="J13" s="15">
        <v>9</v>
      </c>
      <c r="K13" s="13">
        <v>63027592.930000097</v>
      </c>
      <c r="L13" s="13">
        <v>3932022.4888888993</v>
      </c>
      <c r="M13" s="13">
        <v>2688383.2666666773</v>
      </c>
      <c r="N13" s="179">
        <v>43647</v>
      </c>
      <c r="O13" s="16">
        <v>45474</v>
      </c>
      <c r="P13" s="13">
        <v>2890867.93</v>
      </c>
      <c r="Q13" s="222" t="e">
        <v>#VALUE!</v>
      </c>
    </row>
    <row r="14" spans="1:17" x14ac:dyDescent="0.2">
      <c r="A14" s="4" t="s">
        <v>30</v>
      </c>
      <c r="B14" s="13">
        <v>1002620982.45</v>
      </c>
      <c r="C14" s="13">
        <v>933258751.86000001</v>
      </c>
      <c r="D14" s="13">
        <v>69362230.590000033</v>
      </c>
      <c r="E14" s="13">
        <v>25804043.780000001</v>
      </c>
      <c r="F14" s="13">
        <v>19866653</v>
      </c>
      <c r="G14" s="14">
        <v>3.49</v>
      </c>
      <c r="H14" s="14">
        <v>1.3</v>
      </c>
      <c r="I14" s="13">
        <v>2150336.9816666669</v>
      </c>
      <c r="J14" s="15">
        <v>6</v>
      </c>
      <c r="K14" s="13">
        <v>56460208.700000033</v>
      </c>
      <c r="L14" s="13">
        <v>4938154.0983333392</v>
      </c>
      <c r="M14" s="13">
        <v>3282599.6816666722</v>
      </c>
      <c r="N14" s="179">
        <v>43922</v>
      </c>
      <c r="O14" s="16">
        <v>45383</v>
      </c>
      <c r="P14" s="13">
        <v>2932617</v>
      </c>
      <c r="Q14" s="222" t="e">
        <v>#VALUE!</v>
      </c>
    </row>
    <row r="15" spans="1:17" x14ac:dyDescent="0.2">
      <c r="A15" s="4" t="s">
        <v>34</v>
      </c>
      <c r="B15" s="13">
        <v>1408362784.9100001</v>
      </c>
      <c r="C15" s="13">
        <v>1301470549.3</v>
      </c>
      <c r="D15" s="13">
        <v>106892235.61000013</v>
      </c>
      <c r="E15" s="13">
        <v>29731374.760000002</v>
      </c>
      <c r="F15" s="13">
        <v>31050303</v>
      </c>
      <c r="G15" s="14">
        <v>3.44</v>
      </c>
      <c r="H15" s="14">
        <v>0.96</v>
      </c>
      <c r="I15" s="13">
        <v>2477614.5633333335</v>
      </c>
      <c r="J15" s="15">
        <v>9</v>
      </c>
      <c r="K15" s="13">
        <v>84593704.540000141</v>
      </c>
      <c r="L15" s="13">
        <v>4976847.734444459</v>
      </c>
      <c r="M15" s="13">
        <v>3251830.9011111259</v>
      </c>
      <c r="N15" s="179">
        <v>43647</v>
      </c>
      <c r="O15" s="16">
        <v>45474</v>
      </c>
      <c r="P15" s="13">
        <v>1580372.19</v>
      </c>
      <c r="Q15" s="222" t="e">
        <v>#VALUE!</v>
      </c>
    </row>
    <row r="16" spans="1:17" x14ac:dyDescent="0.2">
      <c r="A16" s="4" t="s">
        <v>32</v>
      </c>
      <c r="B16" s="13">
        <v>1141786689.4400001</v>
      </c>
      <c r="C16" s="13">
        <v>1052871696.85</v>
      </c>
      <c r="D16" s="13">
        <v>88914992.590000033</v>
      </c>
      <c r="E16" s="13">
        <v>21216496.32</v>
      </c>
      <c r="F16" s="13">
        <v>26492151</v>
      </c>
      <c r="G16" s="14">
        <v>3.36</v>
      </c>
      <c r="H16" s="14">
        <v>0.8</v>
      </c>
      <c r="I16" s="13">
        <v>1768041.36</v>
      </c>
      <c r="J16" s="15">
        <v>9</v>
      </c>
      <c r="K16" s="13">
        <v>73002620.350000039</v>
      </c>
      <c r="L16" s="13">
        <v>3992298.954444448</v>
      </c>
      <c r="M16" s="13">
        <v>2520512.7877777815</v>
      </c>
      <c r="N16" s="179">
        <v>43647</v>
      </c>
      <c r="O16" s="16">
        <v>45474</v>
      </c>
      <c r="P16" s="13">
        <v>1054502.93</v>
      </c>
      <c r="Q16" s="222" t="e">
        <v>#VALUE!</v>
      </c>
    </row>
    <row r="17" spans="1:17" x14ac:dyDescent="0.2">
      <c r="A17" s="4" t="s">
        <v>35</v>
      </c>
      <c r="B17" s="13">
        <v>775111638</v>
      </c>
      <c r="C17" s="13">
        <v>712210050.69000006</v>
      </c>
      <c r="D17" s="13">
        <v>62901587.309999943</v>
      </c>
      <c r="E17" s="13">
        <v>13695327.939999999</v>
      </c>
      <c r="F17" s="13">
        <v>18806749</v>
      </c>
      <c r="G17" s="14">
        <v>3.34</v>
      </c>
      <c r="H17" s="14">
        <v>0.73</v>
      </c>
      <c r="I17" s="13">
        <v>1141277.3283333334</v>
      </c>
      <c r="J17" s="15">
        <v>9</v>
      </c>
      <c r="K17" s="13">
        <v>52630091.354999945</v>
      </c>
      <c r="L17" s="13">
        <v>2809787.7011111048</v>
      </c>
      <c r="M17" s="13">
        <v>1764968.3122222158</v>
      </c>
      <c r="N17" s="179">
        <v>43647</v>
      </c>
      <c r="O17" s="16">
        <v>45474</v>
      </c>
      <c r="P17" s="13">
        <v>601151.85</v>
      </c>
      <c r="Q17" s="222" t="e">
        <v>#VALUE!</v>
      </c>
    </row>
    <row r="18" spans="1:17" x14ac:dyDescent="0.2">
      <c r="A18" s="4" t="s">
        <v>44</v>
      </c>
      <c r="B18" s="13">
        <v>293820746.33999997</v>
      </c>
      <c r="C18" s="13">
        <v>271618596.61000001</v>
      </c>
      <c r="D18" s="13">
        <v>22202149.729999959</v>
      </c>
      <c r="E18" s="13">
        <v>8990074.7200000007</v>
      </c>
      <c r="F18" s="13">
        <v>6746804</v>
      </c>
      <c r="G18" s="14">
        <v>3.29</v>
      </c>
      <c r="H18" s="14">
        <v>1.33</v>
      </c>
      <c r="I18" s="13">
        <v>749172.89333333343</v>
      </c>
      <c r="J18" s="15">
        <v>9</v>
      </c>
      <c r="K18" s="13">
        <v>15459593.689999959</v>
      </c>
      <c r="L18" s="13">
        <v>967615.7477777733</v>
      </c>
      <c r="M18" s="13" t="s">
        <v>42</v>
      </c>
      <c r="N18" s="179">
        <v>43647</v>
      </c>
      <c r="O18" s="16">
        <v>45474</v>
      </c>
      <c r="P18" s="13">
        <v>906264.3</v>
      </c>
      <c r="Q18" s="222" t="e">
        <v>#VALUE!</v>
      </c>
    </row>
    <row r="19" spans="1:17" x14ac:dyDescent="0.2">
      <c r="A19" s="4" t="s">
        <v>37</v>
      </c>
      <c r="B19" s="13">
        <v>183964974</v>
      </c>
      <c r="C19" s="13">
        <v>171423483.02000001</v>
      </c>
      <c r="D19" s="13">
        <v>12541490.979999989</v>
      </c>
      <c r="E19" s="13">
        <v>2406209.2000000002</v>
      </c>
      <c r="F19" s="13">
        <v>3849554</v>
      </c>
      <c r="G19" s="14">
        <v>3.26</v>
      </c>
      <c r="H19" s="14">
        <v>0.63</v>
      </c>
      <c r="I19" s="13">
        <v>200517.43333333335</v>
      </c>
      <c r="J19" s="15">
        <v>9</v>
      </c>
      <c r="K19" s="13">
        <v>10736834.079999989</v>
      </c>
      <c r="L19" s="13">
        <v>538042.55333333218</v>
      </c>
      <c r="M19" s="13">
        <v>324178.44222222106</v>
      </c>
      <c r="N19" s="179">
        <v>43647</v>
      </c>
      <c r="O19" s="16">
        <v>45474</v>
      </c>
      <c r="P19" s="13">
        <v>283867.55</v>
      </c>
      <c r="Q19" s="222" t="e">
        <v>#VALUE!</v>
      </c>
    </row>
    <row r="20" spans="1:17" x14ac:dyDescent="0.2">
      <c r="A20" s="4" t="s">
        <v>36</v>
      </c>
      <c r="B20" s="13">
        <v>383394888</v>
      </c>
      <c r="C20" s="13">
        <v>352981621.58999997</v>
      </c>
      <c r="D20" s="13">
        <v>30413266.410000026</v>
      </c>
      <c r="E20" s="13">
        <v>7611065.0300000003</v>
      </c>
      <c r="F20" s="13">
        <v>9345978</v>
      </c>
      <c r="G20" s="14">
        <v>3.25</v>
      </c>
      <c r="H20" s="14">
        <v>0.81</v>
      </c>
      <c r="I20" s="13">
        <v>634255.41916666669</v>
      </c>
      <c r="J20" s="15">
        <v>6</v>
      </c>
      <c r="K20" s="13">
        <v>26607733.895000026</v>
      </c>
      <c r="L20" s="13">
        <v>1953551.7350000043</v>
      </c>
      <c r="M20" s="13">
        <v>1174720.2350000043</v>
      </c>
      <c r="N20" s="179">
        <v>43556</v>
      </c>
      <c r="O20" s="16">
        <v>45383</v>
      </c>
      <c r="P20" s="13">
        <v>151585.84</v>
      </c>
      <c r="Q20" s="222" t="e">
        <v>#VALUE!</v>
      </c>
    </row>
    <row r="21" spans="1:17" x14ac:dyDescent="0.2">
      <c r="A21" s="4" t="s">
        <v>33</v>
      </c>
      <c r="B21" s="13">
        <v>987264872</v>
      </c>
      <c r="C21" s="13">
        <v>913771823.60000002</v>
      </c>
      <c r="D21" s="13">
        <v>73493048.399999976</v>
      </c>
      <c r="E21" s="13">
        <v>32031519.719999999</v>
      </c>
      <c r="F21" s="13">
        <v>23383549</v>
      </c>
      <c r="G21" s="14">
        <v>3.14</v>
      </c>
      <c r="H21" s="14">
        <v>1.37</v>
      </c>
      <c r="I21" s="13">
        <v>2669293.31</v>
      </c>
      <c r="J21" s="15">
        <v>6</v>
      </c>
      <c r="K21" s="13">
        <v>57477288.539999977</v>
      </c>
      <c r="L21" s="13">
        <v>4454325.0666666627</v>
      </c>
      <c r="M21" s="13" t="s">
        <v>42</v>
      </c>
      <c r="N21" s="179">
        <v>43922</v>
      </c>
      <c r="O21" s="16">
        <v>45383</v>
      </c>
      <c r="P21" s="13">
        <v>5122105.1399999997</v>
      </c>
      <c r="Q21" s="222" t="e">
        <v>#VALUE!</v>
      </c>
    </row>
    <row r="22" spans="1:17" x14ac:dyDescent="0.2">
      <c r="A22" s="4" t="s">
        <v>39</v>
      </c>
      <c r="B22" s="13">
        <v>490026128.91000003</v>
      </c>
      <c r="C22" s="13">
        <v>457396040.58999997</v>
      </c>
      <c r="D22" s="13">
        <v>32630088.320000052</v>
      </c>
      <c r="E22" s="13">
        <v>10786926.26</v>
      </c>
      <c r="F22" s="13">
        <v>10665728</v>
      </c>
      <c r="G22" s="14">
        <v>3.06</v>
      </c>
      <c r="H22" s="14">
        <v>1.01</v>
      </c>
      <c r="I22" s="13">
        <v>898910.52166666661</v>
      </c>
      <c r="J22" s="15">
        <v>9</v>
      </c>
      <c r="K22" s="13">
        <v>24539893.625000052</v>
      </c>
      <c r="L22" s="13">
        <v>1255403.591111117</v>
      </c>
      <c r="M22" s="13" t="s">
        <v>42</v>
      </c>
      <c r="N22" s="179">
        <v>43647</v>
      </c>
      <c r="O22" s="16">
        <v>45474</v>
      </c>
      <c r="P22" s="13">
        <v>616940.12</v>
      </c>
      <c r="Q22" s="222" t="e">
        <v>#VALUE!</v>
      </c>
    </row>
    <row r="23" spans="1:17" x14ac:dyDescent="0.2">
      <c r="A23" s="4" t="s">
        <v>40</v>
      </c>
      <c r="B23" s="13">
        <v>192099724.25999999</v>
      </c>
      <c r="C23" s="13">
        <v>175823579.72</v>
      </c>
      <c r="D23" s="13">
        <v>16276144.539999992</v>
      </c>
      <c r="E23" s="13">
        <v>4751453.42</v>
      </c>
      <c r="F23" s="13">
        <v>5427145</v>
      </c>
      <c r="G23" s="14">
        <v>3</v>
      </c>
      <c r="H23" s="14">
        <v>0.88</v>
      </c>
      <c r="I23" s="13">
        <v>395954.45166666666</v>
      </c>
      <c r="J23" s="15">
        <v>9</v>
      </c>
      <c r="K23" s="13">
        <v>12712554.474999992</v>
      </c>
      <c r="L23" s="13">
        <v>602428.28222222126</v>
      </c>
      <c r="M23" s="13" t="s">
        <v>42</v>
      </c>
      <c r="N23" s="179">
        <v>43647</v>
      </c>
      <c r="O23" s="16">
        <v>45474</v>
      </c>
      <c r="P23" s="13">
        <v>482720.66</v>
      </c>
      <c r="Q23" s="222" t="e">
        <v>#VALUE!</v>
      </c>
    </row>
    <row r="24" spans="1:17" x14ac:dyDescent="0.2">
      <c r="A24" s="4" t="s">
        <v>43</v>
      </c>
      <c r="B24" s="13">
        <v>248558577</v>
      </c>
      <c r="C24" s="13">
        <v>231725799.12</v>
      </c>
      <c r="D24" s="13">
        <v>16832777.879999995</v>
      </c>
      <c r="E24" s="13">
        <v>6889807.75</v>
      </c>
      <c r="F24" s="13">
        <v>5790145</v>
      </c>
      <c r="G24" s="14">
        <v>2.91</v>
      </c>
      <c r="H24" s="14">
        <v>1.19</v>
      </c>
      <c r="I24" s="13">
        <v>574150.64583333337</v>
      </c>
      <c r="J24" s="15">
        <v>3</v>
      </c>
      <c r="K24" s="13">
        <v>15110325.942499995</v>
      </c>
      <c r="L24" s="13">
        <v>1750829.2933333318</v>
      </c>
      <c r="M24" s="13">
        <v>785805.12666666508</v>
      </c>
      <c r="N24" s="179">
        <v>43831</v>
      </c>
      <c r="O24" s="16">
        <v>45292</v>
      </c>
      <c r="P24" s="13">
        <v>0</v>
      </c>
      <c r="Q24" s="222" t="e">
        <v>#VALUE!</v>
      </c>
    </row>
    <row r="25" spans="1:17" x14ac:dyDescent="0.2">
      <c r="A25" s="4" t="s">
        <v>46</v>
      </c>
      <c r="B25" s="13">
        <v>306076596.48000002</v>
      </c>
      <c r="C25" s="13">
        <v>282846660.19999999</v>
      </c>
      <c r="D25" s="13">
        <v>23229936.280000031</v>
      </c>
      <c r="E25" s="13">
        <v>6629383.6699999999</v>
      </c>
      <c r="F25" s="13">
        <v>8165077</v>
      </c>
      <c r="G25" s="14">
        <v>2.85</v>
      </c>
      <c r="H25" s="14">
        <v>0.81</v>
      </c>
      <c r="I25" s="13">
        <v>552448.63916666666</v>
      </c>
      <c r="J25" s="15">
        <v>9</v>
      </c>
      <c r="K25" s="13">
        <v>18257898.527500033</v>
      </c>
      <c r="L25" s="13">
        <v>766642.47555555904</v>
      </c>
      <c r="M25" s="13" t="s">
        <v>42</v>
      </c>
      <c r="N25" s="179">
        <v>43647</v>
      </c>
      <c r="O25" s="16">
        <v>45474</v>
      </c>
      <c r="P25" s="13">
        <v>346493.86</v>
      </c>
      <c r="Q25" s="222" t="e">
        <v>#VALUE!</v>
      </c>
    </row>
    <row r="26" spans="1:17" x14ac:dyDescent="0.2">
      <c r="A26" s="4" t="s">
        <v>45</v>
      </c>
      <c r="B26" s="13">
        <v>1960284894.29</v>
      </c>
      <c r="C26" s="13">
        <v>1845821312.6700001</v>
      </c>
      <c r="D26" s="13">
        <v>114463581.61999989</v>
      </c>
      <c r="E26" s="13">
        <v>41037417.560000002</v>
      </c>
      <c r="F26" s="13">
        <v>41120349</v>
      </c>
      <c r="G26" s="14">
        <v>2.78</v>
      </c>
      <c r="H26" s="14">
        <v>1</v>
      </c>
      <c r="I26" s="13">
        <v>3419784.7966666669</v>
      </c>
      <c r="J26" s="15">
        <v>3</v>
      </c>
      <c r="K26" s="13">
        <v>104204227.22999988</v>
      </c>
      <c r="L26" s="13">
        <v>10740961.206666628</v>
      </c>
      <c r="M26" s="13">
        <v>3887569.7066666284</v>
      </c>
      <c r="N26" s="179">
        <v>43831</v>
      </c>
      <c r="O26" s="16">
        <v>45292</v>
      </c>
      <c r="P26" s="13">
        <v>2794884.67</v>
      </c>
      <c r="Q26" s="222" t="e">
        <v>#VALUE!</v>
      </c>
    </row>
    <row r="27" spans="1:17" x14ac:dyDescent="0.2">
      <c r="A27" s="4" t="s">
        <v>41</v>
      </c>
      <c r="B27" s="13">
        <v>1181321553.53</v>
      </c>
      <c r="C27" s="13">
        <v>1051008728.0599999</v>
      </c>
      <c r="D27" s="13">
        <v>130312825.47000003</v>
      </c>
      <c r="E27" s="13">
        <v>63042230.840000004</v>
      </c>
      <c r="F27" s="13">
        <v>47769843</v>
      </c>
      <c r="G27" s="14">
        <v>2.73</v>
      </c>
      <c r="H27" s="14">
        <v>1.32</v>
      </c>
      <c r="I27" s="13">
        <v>5253519.2366666673</v>
      </c>
      <c r="J27" s="15">
        <v>3</v>
      </c>
      <c r="K27" s="13">
        <v>114552267.76000002</v>
      </c>
      <c r="L27" s="13">
        <v>11591046.49000001</v>
      </c>
      <c r="M27" s="13" t="s">
        <v>42</v>
      </c>
      <c r="N27" s="179">
        <v>43831</v>
      </c>
      <c r="O27" s="16">
        <v>45292</v>
      </c>
      <c r="P27" s="13">
        <v>6085122.8700000001</v>
      </c>
      <c r="Q27" s="222" t="e">
        <v>#VALUE!</v>
      </c>
    </row>
    <row r="28" spans="1:17" x14ac:dyDescent="0.2">
      <c r="A28" s="4" t="s">
        <v>47</v>
      </c>
      <c r="B28" s="13">
        <v>101716763</v>
      </c>
      <c r="C28" s="13">
        <v>94466109.590000004</v>
      </c>
      <c r="D28" s="13">
        <v>7250653.4099999964</v>
      </c>
      <c r="E28" s="13">
        <v>2507871.4700000002</v>
      </c>
      <c r="F28" s="13">
        <v>2699725</v>
      </c>
      <c r="G28" s="14">
        <v>2.69</v>
      </c>
      <c r="H28" s="14">
        <v>0.93</v>
      </c>
      <c r="I28" s="13">
        <v>208989.28916666668</v>
      </c>
      <c r="J28" s="15">
        <v>9</v>
      </c>
      <c r="K28" s="13">
        <v>5369749.8074999964</v>
      </c>
      <c r="L28" s="13" t="s">
        <v>42</v>
      </c>
      <c r="M28" s="13" t="s">
        <v>42</v>
      </c>
      <c r="N28" s="179">
        <v>43647</v>
      </c>
      <c r="O28" s="16">
        <v>45474</v>
      </c>
      <c r="P28" s="13">
        <v>280269.42</v>
      </c>
      <c r="Q28" s="222" t="e">
        <v>#VALUE!</v>
      </c>
    </row>
    <row r="29" spans="1:17" x14ac:dyDescent="0.2">
      <c r="A29" s="4" t="s">
        <v>38</v>
      </c>
      <c r="B29" s="13">
        <v>514448817.88</v>
      </c>
      <c r="C29" s="13">
        <v>477469071.11000001</v>
      </c>
      <c r="D29" s="13">
        <v>36979746.769999981</v>
      </c>
      <c r="E29" s="13">
        <v>15311980.99</v>
      </c>
      <c r="F29" s="13">
        <v>13912108</v>
      </c>
      <c r="G29" s="14">
        <v>2.66</v>
      </c>
      <c r="H29" s="14">
        <v>1.1000000000000001</v>
      </c>
      <c r="I29" s="13">
        <v>1275998.4158333333</v>
      </c>
      <c r="J29" s="15">
        <v>9</v>
      </c>
      <c r="K29" s="13">
        <v>25495761.027499981</v>
      </c>
      <c r="L29" s="13" t="s">
        <v>42</v>
      </c>
      <c r="M29" s="13" t="s">
        <v>42</v>
      </c>
      <c r="N29" s="179">
        <v>43647</v>
      </c>
      <c r="O29" s="16">
        <v>45474</v>
      </c>
      <c r="P29" s="13">
        <v>1882877.15</v>
      </c>
      <c r="Q29" s="222" t="e">
        <v>#VALUE!</v>
      </c>
    </row>
    <row r="30" spans="1:17" x14ac:dyDescent="0.2">
      <c r="A30" s="4" t="s">
        <v>51</v>
      </c>
      <c r="B30" s="13">
        <v>1035563531</v>
      </c>
      <c r="C30" s="13">
        <v>972566307.14999998</v>
      </c>
      <c r="D30" s="13">
        <v>62997223.850000024</v>
      </c>
      <c r="E30" s="13">
        <v>18494809.940000001</v>
      </c>
      <c r="F30" s="13">
        <v>24645105</v>
      </c>
      <c r="G30" s="14">
        <v>2.56</v>
      </c>
      <c r="H30" s="14">
        <v>0.75</v>
      </c>
      <c r="I30" s="13">
        <v>1541234.1616666669</v>
      </c>
      <c r="J30" s="15">
        <v>3</v>
      </c>
      <c r="K30" s="13">
        <v>58373521.365000024</v>
      </c>
      <c r="L30" s="13">
        <v>4569004.6166666746</v>
      </c>
      <c r="M30" s="13" t="s">
        <v>42</v>
      </c>
      <c r="N30" s="179">
        <v>43831</v>
      </c>
      <c r="O30" s="16">
        <v>45292</v>
      </c>
      <c r="P30" s="13">
        <v>547763.5</v>
      </c>
      <c r="Q30" s="222" t="e">
        <v>#VALUE!</v>
      </c>
    </row>
    <row r="31" spans="1:17" x14ac:dyDescent="0.2">
      <c r="A31" s="4" t="s">
        <v>49</v>
      </c>
      <c r="B31" s="13">
        <v>1215383392.1700001</v>
      </c>
      <c r="C31" s="13">
        <v>1154374708.02</v>
      </c>
      <c r="D31" s="13">
        <v>61008684.150000095</v>
      </c>
      <c r="E31" s="13">
        <v>17162237.75</v>
      </c>
      <c r="F31" s="13">
        <v>24335266</v>
      </c>
      <c r="G31" s="14">
        <v>2.5099999999999998</v>
      </c>
      <c r="H31" s="14">
        <v>0.71</v>
      </c>
      <c r="I31" s="13">
        <v>1430186.4791666667</v>
      </c>
      <c r="J31" s="15">
        <v>9</v>
      </c>
      <c r="K31" s="13">
        <v>48137005.837500095</v>
      </c>
      <c r="L31" s="13" t="s">
        <v>42</v>
      </c>
      <c r="M31" s="13" t="s">
        <v>42</v>
      </c>
      <c r="N31" s="179">
        <v>43647</v>
      </c>
      <c r="O31" s="16">
        <v>45474</v>
      </c>
      <c r="P31" s="13">
        <v>807662.05</v>
      </c>
      <c r="Q31" s="222" t="e">
        <v>#VALUE!</v>
      </c>
    </row>
    <row r="32" spans="1:17" x14ac:dyDescent="0.2">
      <c r="A32" s="4" t="s">
        <v>48</v>
      </c>
      <c r="B32" s="13">
        <v>533753437.31</v>
      </c>
      <c r="C32" s="13">
        <v>505110024.31</v>
      </c>
      <c r="D32" s="13">
        <v>28643413</v>
      </c>
      <c r="E32" s="13">
        <v>17392303</v>
      </c>
      <c r="F32" s="13">
        <v>11499421</v>
      </c>
      <c r="G32" s="14">
        <v>2.4900000000000002</v>
      </c>
      <c r="H32" s="14">
        <v>1.51</v>
      </c>
      <c r="I32" s="13">
        <v>1449358.5833333333</v>
      </c>
      <c r="J32" s="15">
        <v>3</v>
      </c>
      <c r="K32" s="13">
        <v>24295337.25</v>
      </c>
      <c r="L32" s="13">
        <v>1881523.6666666667</v>
      </c>
      <c r="M32" s="13" t="s">
        <v>42</v>
      </c>
      <c r="N32" s="179">
        <v>43831</v>
      </c>
      <c r="O32" s="16">
        <v>45292</v>
      </c>
      <c r="P32" s="13">
        <v>0</v>
      </c>
      <c r="Q32" s="222" t="e">
        <v>#VALUE!</v>
      </c>
    </row>
    <row r="33" spans="1:17" x14ac:dyDescent="0.2">
      <c r="A33" s="4" t="s">
        <v>50</v>
      </c>
      <c r="B33" s="13">
        <v>1601312682.0699999</v>
      </c>
      <c r="C33" s="13">
        <v>1500733842.8399999</v>
      </c>
      <c r="D33" s="13">
        <v>100578839.23000002</v>
      </c>
      <c r="E33" s="13">
        <v>40369623.420000002</v>
      </c>
      <c r="F33" s="13">
        <v>41389514</v>
      </c>
      <c r="G33" s="14">
        <v>2.4300000000000002</v>
      </c>
      <c r="H33" s="14">
        <v>0.98</v>
      </c>
      <c r="I33" s="13">
        <v>3364135.2850000001</v>
      </c>
      <c r="J33" s="15">
        <v>9</v>
      </c>
      <c r="K33" s="13">
        <v>70301621.665000021</v>
      </c>
      <c r="L33" s="13" t="s">
        <v>42</v>
      </c>
      <c r="M33" s="13" t="s">
        <v>42</v>
      </c>
      <c r="N33" s="179">
        <v>43647</v>
      </c>
      <c r="O33" s="16">
        <v>45474</v>
      </c>
      <c r="P33" s="13">
        <v>3865077.07</v>
      </c>
      <c r="Q33" s="222" t="e">
        <v>#VALUE!</v>
      </c>
    </row>
    <row r="34" spans="1:17" x14ac:dyDescent="0.2">
      <c r="A34" s="4" t="s">
        <v>55</v>
      </c>
      <c r="B34" s="13">
        <v>660266370</v>
      </c>
      <c r="C34" s="13">
        <v>625866620.22000003</v>
      </c>
      <c r="D34" s="13">
        <v>34399749.779999971</v>
      </c>
      <c r="E34" s="13">
        <v>12707647.93</v>
      </c>
      <c r="F34" s="13">
        <v>14821600</v>
      </c>
      <c r="G34" s="14">
        <v>2.3199999999999998</v>
      </c>
      <c r="H34" s="14">
        <v>0.86</v>
      </c>
      <c r="I34" s="13">
        <v>1058970.6608333334</v>
      </c>
      <c r="J34" s="15">
        <v>3</v>
      </c>
      <c r="K34" s="13">
        <v>31222837.79749997</v>
      </c>
      <c r="L34" s="13">
        <v>1585516.5933333237</v>
      </c>
      <c r="M34" s="13" t="s">
        <v>42</v>
      </c>
      <c r="N34" s="179">
        <v>43466</v>
      </c>
      <c r="O34" s="16">
        <v>45292</v>
      </c>
      <c r="P34" s="13">
        <v>96533.86</v>
      </c>
      <c r="Q34" s="222" t="e">
        <v>#VALUE!</v>
      </c>
    </row>
    <row r="35" spans="1:17" x14ac:dyDescent="0.2">
      <c r="A35" s="4" t="s">
        <v>54</v>
      </c>
      <c r="B35" s="13">
        <v>1359513127.99</v>
      </c>
      <c r="C35" s="13">
        <v>1280899060.25</v>
      </c>
      <c r="D35" s="13">
        <v>78614067.74000001</v>
      </c>
      <c r="E35" s="13">
        <v>28193276.829999998</v>
      </c>
      <c r="F35" s="13">
        <v>33898476</v>
      </c>
      <c r="G35" s="14">
        <v>2.3199999999999998</v>
      </c>
      <c r="H35" s="14">
        <v>0.83</v>
      </c>
      <c r="I35" s="13">
        <v>2349439.7358333333</v>
      </c>
      <c r="J35" s="15">
        <v>6</v>
      </c>
      <c r="K35" s="13">
        <v>64517429.32500001</v>
      </c>
      <c r="L35" s="13" t="s">
        <v>42</v>
      </c>
      <c r="M35" s="13" t="s">
        <v>42</v>
      </c>
      <c r="N35" s="179">
        <v>43922</v>
      </c>
      <c r="O35" s="16">
        <v>45383</v>
      </c>
      <c r="P35" s="13">
        <v>797792.93</v>
      </c>
      <c r="Q35" s="222" t="e">
        <v>#VALUE!</v>
      </c>
    </row>
    <row r="36" spans="1:17" x14ac:dyDescent="0.2">
      <c r="A36" s="4" t="s">
        <v>53</v>
      </c>
      <c r="B36" s="13">
        <v>2808699464.54</v>
      </c>
      <c r="C36" s="13">
        <v>2649620177.5100002</v>
      </c>
      <c r="D36" s="13">
        <v>159079287.02999973</v>
      </c>
      <c r="E36" s="13">
        <v>73439954.730000004</v>
      </c>
      <c r="F36" s="13">
        <v>68807928.950000003</v>
      </c>
      <c r="G36" s="14">
        <v>2.31</v>
      </c>
      <c r="H36" s="14">
        <v>1.07</v>
      </c>
      <c r="I36" s="13">
        <v>6119996.2275</v>
      </c>
      <c r="J36" s="15">
        <v>0</v>
      </c>
      <c r="K36" s="13">
        <v>159079287.02999973</v>
      </c>
      <c r="L36" s="13" t="s">
        <v>20</v>
      </c>
      <c r="M36" s="13" t="s">
        <v>42</v>
      </c>
      <c r="N36" s="179">
        <v>44075</v>
      </c>
      <c r="O36" s="16">
        <v>45170</v>
      </c>
      <c r="P36" s="13">
        <v>7087326.46</v>
      </c>
      <c r="Q36" s="222" t="e">
        <v>#VALUE!</v>
      </c>
    </row>
    <row r="37" spans="1:17" x14ac:dyDescent="0.2">
      <c r="A37" s="4" t="s">
        <v>52</v>
      </c>
      <c r="B37" s="13">
        <v>508943489</v>
      </c>
      <c r="C37" s="13">
        <v>479356491.19999999</v>
      </c>
      <c r="D37" s="13">
        <v>29586997.800000012</v>
      </c>
      <c r="E37" s="13">
        <v>13141930.75</v>
      </c>
      <c r="F37" s="13">
        <v>12834399</v>
      </c>
      <c r="G37" s="14">
        <v>2.31</v>
      </c>
      <c r="H37" s="14">
        <v>1.02</v>
      </c>
      <c r="I37" s="13">
        <v>1095160.8958333333</v>
      </c>
      <c r="J37" s="15">
        <v>9</v>
      </c>
      <c r="K37" s="13">
        <v>19730549.737500012</v>
      </c>
      <c r="L37" s="13" t="s">
        <v>42</v>
      </c>
      <c r="M37" s="13" t="s">
        <v>42</v>
      </c>
      <c r="N37" s="179">
        <v>43647</v>
      </c>
      <c r="O37" s="16">
        <v>45474</v>
      </c>
      <c r="P37" s="13">
        <v>1588425.35</v>
      </c>
      <c r="Q37" s="222" t="e">
        <v>#VALUE!</v>
      </c>
    </row>
    <row r="38" spans="1:17" x14ac:dyDescent="0.2">
      <c r="A38" s="4" t="s">
        <v>56</v>
      </c>
      <c r="B38" s="13">
        <v>1127333975</v>
      </c>
      <c r="C38" s="13">
        <v>1063842874.48</v>
      </c>
      <c r="D38" s="13">
        <v>63491100.519999981</v>
      </c>
      <c r="E38" s="13">
        <v>26594546.940000001</v>
      </c>
      <c r="F38" s="13">
        <v>28091254</v>
      </c>
      <c r="G38" s="14">
        <v>2.2599999999999998</v>
      </c>
      <c r="H38" s="14">
        <v>0.95</v>
      </c>
      <c r="I38" s="13">
        <v>2216212.2450000001</v>
      </c>
      <c r="J38" s="15">
        <v>9</v>
      </c>
      <c r="K38" s="13">
        <v>43545190.314999983</v>
      </c>
      <c r="L38" s="13" t="s">
        <v>42</v>
      </c>
      <c r="M38" s="13" t="s">
        <v>42</v>
      </c>
      <c r="N38" s="179">
        <v>43647</v>
      </c>
      <c r="O38" s="16">
        <v>45474</v>
      </c>
      <c r="P38" s="13">
        <v>644279.28</v>
      </c>
      <c r="Q38" s="222" t="e">
        <v>#VALUE!</v>
      </c>
    </row>
    <row r="39" spans="1:17" x14ac:dyDescent="0.2">
      <c r="A39" s="4" t="s">
        <v>58</v>
      </c>
      <c r="B39" s="13">
        <v>1182616448</v>
      </c>
      <c r="C39" s="13">
        <v>1133352777.9000001</v>
      </c>
      <c r="D39" s="13">
        <v>49263670.099999905</v>
      </c>
      <c r="E39" s="13">
        <v>20390662.690000001</v>
      </c>
      <c r="F39" s="13">
        <v>22759065</v>
      </c>
      <c r="G39" s="14">
        <v>2.16</v>
      </c>
      <c r="H39" s="14">
        <v>0.9</v>
      </c>
      <c r="I39" s="13">
        <v>1699221.8908333334</v>
      </c>
      <c r="J39" s="15">
        <v>6</v>
      </c>
      <c r="K39" s="13">
        <v>39068338.754999906</v>
      </c>
      <c r="L39" s="13" t="s">
        <v>42</v>
      </c>
      <c r="M39" s="13" t="s">
        <v>42</v>
      </c>
      <c r="N39" s="179">
        <v>43922</v>
      </c>
      <c r="O39" s="16">
        <v>45383</v>
      </c>
      <c r="P39" s="13">
        <v>1703431.12</v>
      </c>
      <c r="Q39" s="222" t="e">
        <v>#VALUE!</v>
      </c>
    </row>
    <row r="40" spans="1:17" x14ac:dyDescent="0.2">
      <c r="A40" s="4" t="s">
        <v>59</v>
      </c>
      <c r="B40" s="13">
        <v>270139589</v>
      </c>
      <c r="C40" s="13">
        <v>254480229.47999999</v>
      </c>
      <c r="D40" s="13">
        <v>15659359.520000011</v>
      </c>
      <c r="E40" s="13">
        <v>5969481.9800000004</v>
      </c>
      <c r="F40" s="13">
        <v>7334647</v>
      </c>
      <c r="G40" s="14">
        <v>2.13</v>
      </c>
      <c r="H40" s="14">
        <v>0.81</v>
      </c>
      <c r="I40" s="13">
        <v>497456.83166666672</v>
      </c>
      <c r="J40" s="15">
        <v>9</v>
      </c>
      <c r="K40" s="13">
        <v>11182248.035000011</v>
      </c>
      <c r="L40" s="13" t="s">
        <v>42</v>
      </c>
      <c r="M40" s="13" t="s">
        <v>42</v>
      </c>
      <c r="N40" s="179">
        <v>43647</v>
      </c>
      <c r="O40" s="16">
        <v>45474</v>
      </c>
      <c r="P40" s="13">
        <v>883389</v>
      </c>
      <c r="Q40" s="222" t="e">
        <v>#VALUE!</v>
      </c>
    </row>
    <row r="41" spans="1:17" x14ac:dyDescent="0.2">
      <c r="A41" s="4" t="s">
        <v>60</v>
      </c>
      <c r="B41" s="13">
        <v>334651630.45999998</v>
      </c>
      <c r="C41" s="13">
        <v>317853013.51999998</v>
      </c>
      <c r="D41" s="13">
        <v>16798616.939999998</v>
      </c>
      <c r="E41" s="13">
        <v>7587675.7999999998</v>
      </c>
      <c r="F41" s="13">
        <v>7944686</v>
      </c>
      <c r="G41" s="14">
        <v>2.11</v>
      </c>
      <c r="H41" s="14">
        <v>0.96</v>
      </c>
      <c r="I41" s="13">
        <v>632306.31666666665</v>
      </c>
      <c r="J41" s="15">
        <v>6</v>
      </c>
      <c r="K41" s="13">
        <v>13004779.039999997</v>
      </c>
      <c r="L41" s="13" t="s">
        <v>42</v>
      </c>
      <c r="M41" s="13" t="s">
        <v>42</v>
      </c>
      <c r="N41" s="179">
        <v>43556</v>
      </c>
      <c r="O41" s="16">
        <v>45383</v>
      </c>
      <c r="P41" s="13">
        <v>373292.75</v>
      </c>
      <c r="Q41" s="222" t="e">
        <v>#VALUE!</v>
      </c>
    </row>
    <row r="42" spans="1:17" x14ac:dyDescent="0.2">
      <c r="A42" s="4" t="s">
        <v>57</v>
      </c>
      <c r="B42" s="13">
        <v>95802497</v>
      </c>
      <c r="C42" s="13">
        <v>89693922.25</v>
      </c>
      <c r="D42" s="13">
        <v>6108574.75</v>
      </c>
      <c r="E42" s="13">
        <v>5687174.6399999997</v>
      </c>
      <c r="F42" s="13">
        <v>2895399</v>
      </c>
      <c r="G42" s="14">
        <v>2.11</v>
      </c>
      <c r="H42" s="14">
        <v>1.96</v>
      </c>
      <c r="I42" s="13">
        <v>473931.22</v>
      </c>
      <c r="J42" s="15">
        <v>9</v>
      </c>
      <c r="K42" s="13">
        <v>1843193.7700000005</v>
      </c>
      <c r="L42" s="13" t="s">
        <v>42</v>
      </c>
      <c r="M42" s="13" t="s">
        <v>42</v>
      </c>
      <c r="N42" s="179">
        <v>43647</v>
      </c>
      <c r="O42" s="16">
        <v>45474</v>
      </c>
      <c r="P42" s="13">
        <v>26370.25</v>
      </c>
      <c r="Q42" s="222" t="e">
        <v>#VALUE!</v>
      </c>
    </row>
    <row r="43" spans="1:17" x14ac:dyDescent="0.2">
      <c r="A43" s="4" t="s">
        <v>61</v>
      </c>
      <c r="B43" s="13">
        <v>1062416247.5</v>
      </c>
      <c r="C43" s="13">
        <v>1013619223.64</v>
      </c>
      <c r="D43" s="13">
        <v>48797023.860000014</v>
      </c>
      <c r="E43" s="13">
        <v>24768123.91</v>
      </c>
      <c r="F43" s="13">
        <v>23271036</v>
      </c>
      <c r="G43" s="14">
        <v>2.1</v>
      </c>
      <c r="H43" s="14">
        <v>1.06</v>
      </c>
      <c r="I43" s="13">
        <v>2064010.3258333334</v>
      </c>
      <c r="J43" s="15">
        <v>6</v>
      </c>
      <c r="K43" s="13">
        <v>36412961.905000016</v>
      </c>
      <c r="L43" s="13" t="s">
        <v>42</v>
      </c>
      <c r="M43" s="13" t="s">
        <v>42</v>
      </c>
      <c r="N43" s="179">
        <v>43556</v>
      </c>
      <c r="O43" s="16">
        <v>45383</v>
      </c>
      <c r="P43" s="13">
        <v>954694.1</v>
      </c>
      <c r="Q43" s="222" t="e">
        <v>#VALUE!</v>
      </c>
    </row>
    <row r="44" spans="1:17" x14ac:dyDescent="0.2">
      <c r="A44" s="4" t="s">
        <v>64</v>
      </c>
      <c r="B44" s="13">
        <v>336705739</v>
      </c>
      <c r="C44" s="13">
        <v>317959496.41000003</v>
      </c>
      <c r="D44" s="13">
        <v>18746242.589999974</v>
      </c>
      <c r="E44" s="13">
        <v>6210150.3499999996</v>
      </c>
      <c r="F44" s="13">
        <v>9271277</v>
      </c>
      <c r="G44" s="14">
        <v>2.02</v>
      </c>
      <c r="H44" s="14">
        <v>0.67</v>
      </c>
      <c r="I44" s="13">
        <v>517512.52916666662</v>
      </c>
      <c r="J44" s="15">
        <v>3</v>
      </c>
      <c r="K44" s="13">
        <v>17193705.002499975</v>
      </c>
      <c r="L44" s="13" t="s">
        <v>42</v>
      </c>
      <c r="M44" s="13" t="s">
        <v>42</v>
      </c>
      <c r="N44" s="179">
        <v>43831</v>
      </c>
      <c r="O44" s="16">
        <v>45292</v>
      </c>
      <c r="P44" s="13">
        <v>126371.26</v>
      </c>
      <c r="Q44" s="222" t="e">
        <v>#VALUE!</v>
      </c>
    </row>
    <row r="45" spans="1:17" x14ac:dyDescent="0.2">
      <c r="A45" s="4" t="s">
        <v>62</v>
      </c>
      <c r="B45" s="13">
        <v>671425386.73000002</v>
      </c>
      <c r="C45" s="13">
        <v>643050843.89999998</v>
      </c>
      <c r="D45" s="13">
        <v>28374542.830000043</v>
      </c>
      <c r="E45" s="13">
        <v>11963912.58</v>
      </c>
      <c r="F45" s="13">
        <v>14136687</v>
      </c>
      <c r="G45" s="14">
        <v>2.0099999999999998</v>
      </c>
      <c r="H45" s="14">
        <v>0.85</v>
      </c>
      <c r="I45" s="13">
        <v>996992.71499999997</v>
      </c>
      <c r="J45" s="15">
        <v>6</v>
      </c>
      <c r="K45" s="13">
        <v>22392586.540000044</v>
      </c>
      <c r="L45" s="13" t="s">
        <v>42</v>
      </c>
      <c r="M45" s="13" t="s">
        <v>42</v>
      </c>
      <c r="N45" s="179">
        <v>43922</v>
      </c>
      <c r="O45" s="16">
        <v>45383</v>
      </c>
      <c r="P45" s="13">
        <v>697926.74</v>
      </c>
      <c r="Q45" s="222" t="e">
        <v>#VALUE!</v>
      </c>
    </row>
    <row r="46" spans="1:17" x14ac:dyDescent="0.2">
      <c r="A46" s="4" t="s">
        <v>63</v>
      </c>
      <c r="B46" s="13">
        <v>1279000022.5599999</v>
      </c>
      <c r="C46" s="13">
        <v>1218401459.24</v>
      </c>
      <c r="D46" s="13">
        <v>60598563.319999933</v>
      </c>
      <c r="E46" s="13">
        <v>24285052.199999999</v>
      </c>
      <c r="F46" s="13">
        <v>30789752</v>
      </c>
      <c r="G46" s="14">
        <v>1.97</v>
      </c>
      <c r="H46" s="14">
        <v>0.79</v>
      </c>
      <c r="I46" s="13">
        <v>2023754.3499999999</v>
      </c>
      <c r="J46" s="15">
        <v>9</v>
      </c>
      <c r="K46" s="13">
        <v>42384774.169999935</v>
      </c>
      <c r="L46" s="13" t="s">
        <v>42</v>
      </c>
      <c r="M46" s="13" t="s">
        <v>42</v>
      </c>
      <c r="N46" s="179">
        <v>43647</v>
      </c>
      <c r="O46" s="16">
        <v>45474</v>
      </c>
      <c r="P46" s="13">
        <v>0</v>
      </c>
      <c r="Q46" s="222" t="e">
        <v>#VALUE!</v>
      </c>
    </row>
    <row r="47" spans="1:17" x14ac:dyDescent="0.2">
      <c r="A47" s="4" t="s">
        <v>66</v>
      </c>
      <c r="B47" s="13">
        <v>1894934846.98</v>
      </c>
      <c r="C47" s="13">
        <v>1817659069.22</v>
      </c>
      <c r="D47" s="13">
        <v>77275777.75999999</v>
      </c>
      <c r="E47" s="13">
        <v>43594107.539999999</v>
      </c>
      <c r="F47" s="13">
        <v>45251402</v>
      </c>
      <c r="G47" s="14">
        <v>1.71</v>
      </c>
      <c r="H47" s="14">
        <v>0.96</v>
      </c>
      <c r="I47" s="13">
        <v>3632842.2949999999</v>
      </c>
      <c r="J47" s="15">
        <v>9</v>
      </c>
      <c r="K47" s="13">
        <v>44580197.104999989</v>
      </c>
      <c r="L47" s="13" t="s">
        <v>42</v>
      </c>
      <c r="M47" s="13" t="s">
        <v>42</v>
      </c>
      <c r="N47" s="179">
        <v>43647</v>
      </c>
      <c r="O47" s="16">
        <v>45474</v>
      </c>
      <c r="P47" s="13">
        <v>3436750.75</v>
      </c>
      <c r="Q47" s="222" t="e">
        <v>#VALUE!</v>
      </c>
    </row>
    <row r="48" spans="1:17" x14ac:dyDescent="0.2">
      <c r="A48" s="4" t="s">
        <v>65</v>
      </c>
      <c r="B48" s="13">
        <v>379033306</v>
      </c>
      <c r="C48" s="13">
        <v>362710815.17000002</v>
      </c>
      <c r="D48" s="13">
        <v>16322490.829999983</v>
      </c>
      <c r="E48" s="13">
        <v>8968048.5299999993</v>
      </c>
      <c r="F48" s="13">
        <v>9905563</v>
      </c>
      <c r="G48" s="14">
        <v>1.65</v>
      </c>
      <c r="H48" s="14">
        <v>0.91</v>
      </c>
      <c r="I48" s="13">
        <v>747337.37749999994</v>
      </c>
      <c r="J48" s="15">
        <v>9</v>
      </c>
      <c r="K48" s="13">
        <v>9596454.4324999843</v>
      </c>
      <c r="L48" s="13" t="s">
        <v>42</v>
      </c>
      <c r="M48" s="13" t="s">
        <v>42</v>
      </c>
      <c r="N48" s="179">
        <v>43647</v>
      </c>
      <c r="O48" s="16">
        <v>45474</v>
      </c>
      <c r="P48" s="13">
        <v>639302.55000000005</v>
      </c>
      <c r="Q48" s="222" t="e">
        <v>#VALUE!</v>
      </c>
    </row>
    <row r="49" spans="1:17" x14ac:dyDescent="0.2">
      <c r="A49" s="4" t="s">
        <v>67</v>
      </c>
      <c r="B49" s="13">
        <v>1055772942</v>
      </c>
      <c r="C49" s="13">
        <v>1011612904.49</v>
      </c>
      <c r="D49" s="13">
        <v>44160037.50999999</v>
      </c>
      <c r="E49" s="13">
        <v>31533834.859999999</v>
      </c>
      <c r="F49" s="13">
        <v>27135328</v>
      </c>
      <c r="G49" s="14">
        <v>1.63</v>
      </c>
      <c r="H49" s="14">
        <v>1.1599999999999999</v>
      </c>
      <c r="I49" s="13">
        <v>2627819.5716666668</v>
      </c>
      <c r="J49" s="15">
        <v>6</v>
      </c>
      <c r="K49" s="13">
        <v>28393120.079999991</v>
      </c>
      <c r="L49" s="13" t="s">
        <v>42</v>
      </c>
      <c r="M49" s="13" t="s">
        <v>42</v>
      </c>
      <c r="N49" s="179">
        <v>43922</v>
      </c>
      <c r="O49" s="16">
        <v>45383</v>
      </c>
      <c r="P49" s="13">
        <v>1979813.29</v>
      </c>
      <c r="Q49" s="222" t="e">
        <v>#VALUE!</v>
      </c>
    </row>
    <row r="50" spans="1:17" x14ac:dyDescent="0.2">
      <c r="A50" s="4" t="s">
        <v>68</v>
      </c>
      <c r="B50" s="13">
        <v>485437344</v>
      </c>
      <c r="C50" s="13">
        <v>468001110.63</v>
      </c>
      <c r="D50" s="13">
        <v>17436233.370000005</v>
      </c>
      <c r="E50" s="13">
        <v>11570455.75</v>
      </c>
      <c r="F50" s="13">
        <v>11760505</v>
      </c>
      <c r="G50" s="14">
        <v>1.48</v>
      </c>
      <c r="H50" s="14">
        <v>0.98</v>
      </c>
      <c r="I50" s="13">
        <v>964204.64583333337</v>
      </c>
      <c r="J50" s="15">
        <v>3</v>
      </c>
      <c r="K50" s="13">
        <v>14543619.432500005</v>
      </c>
      <c r="L50" s="13" t="s">
        <v>42</v>
      </c>
      <c r="M50" s="13" t="s">
        <v>42</v>
      </c>
      <c r="N50" s="179">
        <v>43831</v>
      </c>
      <c r="O50" s="16">
        <v>45292</v>
      </c>
      <c r="P50" s="13">
        <v>1051947.67</v>
      </c>
      <c r="Q50" s="222" t="e">
        <v>#VALUE!</v>
      </c>
    </row>
    <row r="51" spans="1:17" x14ac:dyDescent="0.2">
      <c r="A51" s="4" t="s">
        <v>69</v>
      </c>
      <c r="B51" s="13">
        <v>232702025</v>
      </c>
      <c r="C51" s="13">
        <v>226447797.88999999</v>
      </c>
      <c r="D51" s="13">
        <v>6254227.1100000143</v>
      </c>
      <c r="E51" s="13">
        <v>7178006.7599999998</v>
      </c>
      <c r="F51" s="13">
        <v>6807147</v>
      </c>
      <c r="G51" s="14">
        <v>0.92</v>
      </c>
      <c r="H51" s="14">
        <v>1.05</v>
      </c>
      <c r="I51" s="13">
        <v>598167.23</v>
      </c>
      <c r="J51" s="15">
        <v>9</v>
      </c>
      <c r="K51" s="13">
        <v>870722.04000001401</v>
      </c>
      <c r="L51" s="13" t="s">
        <v>42</v>
      </c>
      <c r="M51" s="13" t="s">
        <v>42</v>
      </c>
      <c r="N51" s="179">
        <v>43647</v>
      </c>
      <c r="O51" s="16">
        <v>45474</v>
      </c>
      <c r="P51" s="13">
        <v>939472.97</v>
      </c>
      <c r="Q51" s="222" t="e">
        <v>#VALUE!</v>
      </c>
    </row>
    <row r="52" spans="1:17" x14ac:dyDescent="0.2">
      <c r="A52" s="4" t="s">
        <v>70</v>
      </c>
      <c r="B52" s="13">
        <v>72717998</v>
      </c>
      <c r="C52" s="13">
        <v>70607897.560000002</v>
      </c>
      <c r="D52" s="18">
        <v>2110100.4399999976</v>
      </c>
      <c r="E52" s="13">
        <v>2021794.07</v>
      </c>
      <c r="F52" s="13">
        <v>2684959</v>
      </c>
      <c r="G52" s="14">
        <v>0.79</v>
      </c>
      <c r="H52" s="14">
        <v>0.75</v>
      </c>
      <c r="I52" s="18">
        <v>168482.83916666667</v>
      </c>
      <c r="J52" s="15">
        <v>9</v>
      </c>
      <c r="K52" s="18">
        <v>593754.88749999763</v>
      </c>
      <c r="L52" s="18" t="s">
        <v>42</v>
      </c>
      <c r="M52" s="18" t="s">
        <v>42</v>
      </c>
      <c r="N52" s="180">
        <v>43647</v>
      </c>
      <c r="O52" s="16">
        <v>45474</v>
      </c>
      <c r="P52" s="13">
        <v>102062.44</v>
      </c>
      <c r="Q52" s="222" t="e">
        <v>#VALUE!</v>
      </c>
    </row>
    <row r="53" spans="1:17" x14ac:dyDescent="0.25">
      <c r="A53" s="34" t="s">
        <v>71</v>
      </c>
      <c r="B53" s="31">
        <v>42069964106.959999</v>
      </c>
      <c r="C53" s="13">
        <v>39187717202.879997</v>
      </c>
      <c r="D53" s="31">
        <v>2882246904.0800018</v>
      </c>
      <c r="E53" s="13">
        <v>911637058.71000004</v>
      </c>
      <c r="F53" s="13">
        <v>987632881.95000005</v>
      </c>
      <c r="G53" s="14">
        <v>2.92</v>
      </c>
      <c r="H53" s="14">
        <v>0.92</v>
      </c>
      <c r="I53" s="31">
        <v>75969754.892499998</v>
      </c>
      <c r="J53" s="32"/>
      <c r="K53" s="33"/>
      <c r="L53" s="33"/>
      <c r="M53" s="33"/>
      <c r="N53" s="33"/>
      <c r="O53" s="33"/>
      <c r="P53" s="31">
        <v>68831613.840000004</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29</v>
      </c>
      <c r="H56" s="25"/>
    </row>
    <row r="57" spans="1:17" ht="27" customHeight="1" thickBot="1" x14ac:dyDescent="0.3">
      <c r="D57" s="228" t="s">
        <v>73</v>
      </c>
      <c r="E57" s="229"/>
      <c r="F57" s="229"/>
      <c r="G57" s="27"/>
      <c r="H57" s="28">
        <v>34</v>
      </c>
    </row>
  </sheetData>
  <mergeCells count="2">
    <mergeCell ref="D56:F56"/>
    <mergeCell ref="D57:F57"/>
  </mergeCells>
  <conditionalFormatting sqref="G54">
    <cfRule type="cellIs" dxfId="377" priority="13" stopIfTrue="1" operator="greaterThan">
      <formula>2.5</formula>
    </cfRule>
    <cfRule type="cellIs" dxfId="376" priority="14" stopIfTrue="1" operator="between">
      <formula>2.01</formula>
      <formula>2.5</formula>
    </cfRule>
  </conditionalFormatting>
  <conditionalFormatting sqref="H3:H53">
    <cfRule type="cellIs" dxfId="375" priority="12" stopIfTrue="1" operator="lessThan">
      <formula>1</formula>
    </cfRule>
  </conditionalFormatting>
  <conditionalFormatting sqref="G3:G53">
    <cfRule type="cellIs" dxfId="374" priority="10" stopIfTrue="1" operator="greaterThan">
      <formula>2.5</formula>
    </cfRule>
    <cfRule type="cellIs" dxfId="373" priority="11" stopIfTrue="1" operator="between">
      <formula>2.01</formula>
      <formula>2.5</formula>
    </cfRule>
  </conditionalFormatting>
  <conditionalFormatting sqref="K3:K52">
    <cfRule type="cellIs" dxfId="372" priority="8" stopIfTrue="1" operator="greaterThan">
      <formula>$F3*2.5</formula>
    </cfRule>
    <cfRule type="cellIs" dxfId="371" priority="9" stopIfTrue="1" operator="between">
      <formula>$F3*2</formula>
      <formula>$F3*2.5</formula>
    </cfRule>
  </conditionalFormatting>
  <conditionalFormatting sqref="G54">
    <cfRule type="cellIs" dxfId="370" priority="6" stopIfTrue="1" operator="greaterThan">
      <formula>2.5</formula>
    </cfRule>
    <cfRule type="cellIs" dxfId="369" priority="7" stopIfTrue="1" operator="between">
      <formula>2.01</formula>
      <formula>2.5</formula>
    </cfRule>
  </conditionalFormatting>
  <conditionalFormatting sqref="H3:H53">
    <cfRule type="cellIs" dxfId="368" priority="5" stopIfTrue="1" operator="lessThan">
      <formula>1</formula>
    </cfRule>
  </conditionalFormatting>
  <conditionalFormatting sqref="G3:G53">
    <cfRule type="cellIs" dxfId="367" priority="3" stopIfTrue="1" operator="greaterThan">
      <formula>2.5</formula>
    </cfRule>
    <cfRule type="cellIs" dxfId="366" priority="4" stopIfTrue="1" operator="between">
      <formula>2.01</formula>
      <formula>2.5</formula>
    </cfRule>
  </conditionalFormatting>
  <conditionalFormatting sqref="K3:K52">
    <cfRule type="cellIs" dxfId="365" priority="1" stopIfTrue="1" operator="greaterThan">
      <formula>$F3*2.5</formula>
    </cfRule>
    <cfRule type="cellIs" dxfId="364"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49F4-9697-433E-99D6-F0613ABE2BB9}">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80</v>
      </c>
      <c r="B1" s="178" t="s">
        <v>81</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1115197398.45</v>
      </c>
      <c r="C3" s="13">
        <v>977324333.08000004</v>
      </c>
      <c r="D3" s="13">
        <v>137873065.37</v>
      </c>
      <c r="E3" s="13">
        <v>8869022.7899999991</v>
      </c>
      <c r="F3" s="13">
        <v>26165562</v>
      </c>
      <c r="G3" s="14">
        <v>5.27</v>
      </c>
      <c r="H3" s="14">
        <v>0.34</v>
      </c>
      <c r="I3" s="13">
        <v>739085.23249999993</v>
      </c>
      <c r="J3" s="15">
        <v>8</v>
      </c>
      <c r="K3" s="13">
        <v>131960383.51000001</v>
      </c>
      <c r="L3" s="13">
        <v>10692742.671250001</v>
      </c>
      <c r="M3" s="13">
        <v>9057395.0462500006</v>
      </c>
      <c r="N3" s="179">
        <v>43647</v>
      </c>
      <c r="O3" s="16">
        <v>45474</v>
      </c>
      <c r="P3" s="13">
        <v>1237083.24</v>
      </c>
      <c r="Q3" s="223" t="e">
        <v>#VALUE!</v>
      </c>
    </row>
    <row r="4" spans="1:17" x14ac:dyDescent="0.2">
      <c r="A4" s="4" t="s">
        <v>21</v>
      </c>
      <c r="B4" s="13">
        <v>1742322911.3599999</v>
      </c>
      <c r="C4" s="13">
        <v>1519407347.22</v>
      </c>
      <c r="D4" s="13">
        <v>222915564.13999987</v>
      </c>
      <c r="E4" s="13">
        <v>32741174.859999999</v>
      </c>
      <c r="F4" s="13">
        <v>46308393</v>
      </c>
      <c r="G4" s="14">
        <v>4.8099999999999996</v>
      </c>
      <c r="H4" s="14">
        <v>0.71</v>
      </c>
      <c r="I4" s="13">
        <v>2728431.2383333333</v>
      </c>
      <c r="J4" s="15">
        <v>2</v>
      </c>
      <c r="K4" s="13">
        <v>217458701.66333321</v>
      </c>
      <c r="L4" s="13">
        <v>65149389.069999933</v>
      </c>
      <c r="M4" s="13">
        <v>53572290.819999933</v>
      </c>
      <c r="N4" s="179">
        <v>43831</v>
      </c>
      <c r="O4" s="16">
        <v>45292</v>
      </c>
      <c r="P4" s="13">
        <v>5496270.1100000003</v>
      </c>
      <c r="Q4" s="222" t="e">
        <v>#VALUE!</v>
      </c>
    </row>
    <row r="5" spans="1:17" x14ac:dyDescent="0.2">
      <c r="A5" s="4" t="s">
        <v>22</v>
      </c>
      <c r="B5" s="13">
        <v>694863312.32000005</v>
      </c>
      <c r="C5" s="13">
        <v>627522197.84000003</v>
      </c>
      <c r="D5" s="13">
        <v>67341114.480000019</v>
      </c>
      <c r="E5" s="13">
        <v>12479883.869999999</v>
      </c>
      <c r="F5" s="13">
        <v>14211637</v>
      </c>
      <c r="G5" s="14">
        <v>4.74</v>
      </c>
      <c r="H5" s="14">
        <v>0.88</v>
      </c>
      <c r="I5" s="13">
        <v>1039990.3224999999</v>
      </c>
      <c r="J5" s="15">
        <v>8</v>
      </c>
      <c r="K5" s="13">
        <v>59021191.900000021</v>
      </c>
      <c r="L5" s="13">
        <v>4864730.0600000024</v>
      </c>
      <c r="M5" s="13">
        <v>3976502.7475000024</v>
      </c>
      <c r="N5" s="179">
        <v>43647</v>
      </c>
      <c r="O5" s="16">
        <v>45474</v>
      </c>
      <c r="P5" s="13">
        <v>861806.9</v>
      </c>
      <c r="Q5" s="222" t="e">
        <v>#VALUE!</v>
      </c>
    </row>
    <row r="6" spans="1:17" x14ac:dyDescent="0.2">
      <c r="A6" s="4" t="s">
        <v>23</v>
      </c>
      <c r="B6" s="13">
        <v>1307199339.74</v>
      </c>
      <c r="C6" s="13">
        <v>1175515569.3599999</v>
      </c>
      <c r="D6" s="13">
        <v>131683770.38000011</v>
      </c>
      <c r="E6" s="13">
        <v>14017669.34</v>
      </c>
      <c r="F6" s="13">
        <v>29464578</v>
      </c>
      <c r="G6" s="14">
        <v>4.47</v>
      </c>
      <c r="H6" s="14">
        <v>0.48</v>
      </c>
      <c r="I6" s="13">
        <v>1168139.1116666666</v>
      </c>
      <c r="J6" s="15">
        <v>2</v>
      </c>
      <c r="K6" s="13">
        <v>129347492.15666679</v>
      </c>
      <c r="L6" s="13">
        <v>36377307.190000057</v>
      </c>
      <c r="M6" s="13">
        <v>29011162.690000057</v>
      </c>
      <c r="N6" s="179">
        <v>43831</v>
      </c>
      <c r="O6" s="16">
        <v>45292</v>
      </c>
      <c r="P6" s="13">
        <v>180733.82</v>
      </c>
      <c r="Q6" s="222" t="e">
        <v>#VALUE!</v>
      </c>
    </row>
    <row r="7" spans="1:17" x14ac:dyDescent="0.2">
      <c r="A7" s="4" t="s">
        <v>24</v>
      </c>
      <c r="B7" s="13">
        <v>1436169229.97</v>
      </c>
      <c r="C7" s="13">
        <v>1292485330.1300001</v>
      </c>
      <c r="D7" s="13">
        <v>143683899.83999991</v>
      </c>
      <c r="E7" s="13">
        <v>30026772.120000001</v>
      </c>
      <c r="F7" s="13">
        <v>33783046</v>
      </c>
      <c r="G7" s="14">
        <v>4.25</v>
      </c>
      <c r="H7" s="14">
        <v>0.89</v>
      </c>
      <c r="I7" s="13">
        <v>2502231.0100000002</v>
      </c>
      <c r="J7" s="15">
        <v>8</v>
      </c>
      <c r="K7" s="13">
        <v>123666051.75999992</v>
      </c>
      <c r="L7" s="13">
        <v>9514725.9799999893</v>
      </c>
      <c r="M7" s="13">
        <v>7403285.6049999893</v>
      </c>
      <c r="N7" s="179">
        <v>43647</v>
      </c>
      <c r="O7" s="16">
        <v>45474</v>
      </c>
      <c r="P7" s="13">
        <v>2163178.46</v>
      </c>
      <c r="Q7" s="222" t="e">
        <v>#VALUE!</v>
      </c>
    </row>
    <row r="8" spans="1:17" x14ac:dyDescent="0.2">
      <c r="A8" s="4" t="s">
        <v>25</v>
      </c>
      <c r="B8" s="13">
        <v>258947994</v>
      </c>
      <c r="C8" s="13">
        <v>233568838.74000001</v>
      </c>
      <c r="D8" s="13">
        <v>25379155.25999999</v>
      </c>
      <c r="E8" s="13">
        <v>6166660.3099999996</v>
      </c>
      <c r="F8" s="13">
        <v>6541090</v>
      </c>
      <c r="G8" s="14">
        <v>3.88</v>
      </c>
      <c r="H8" s="14">
        <v>0.94</v>
      </c>
      <c r="I8" s="13">
        <v>513888.35916666663</v>
      </c>
      <c r="J8" s="15">
        <v>5</v>
      </c>
      <c r="K8" s="13">
        <v>22809713.464166656</v>
      </c>
      <c r="L8" s="13">
        <v>2459395.0519999983</v>
      </c>
      <c r="M8" s="13">
        <v>1805286.051999998</v>
      </c>
      <c r="N8" s="179">
        <v>43922</v>
      </c>
      <c r="O8" s="16">
        <v>45383</v>
      </c>
      <c r="P8" s="13">
        <v>1531679.22</v>
      </c>
      <c r="Q8" s="222" t="e">
        <v>#VALUE!</v>
      </c>
    </row>
    <row r="9" spans="1:17" x14ac:dyDescent="0.2">
      <c r="A9" s="4" t="s">
        <v>26</v>
      </c>
      <c r="B9" s="13">
        <v>117378745.39</v>
      </c>
      <c r="C9" s="13">
        <v>104029133.11</v>
      </c>
      <c r="D9" s="13">
        <v>13349612.280000001</v>
      </c>
      <c r="E9" s="13">
        <v>1495822.4</v>
      </c>
      <c r="F9" s="13">
        <v>3536351</v>
      </c>
      <c r="G9" s="14">
        <v>3.77</v>
      </c>
      <c r="H9" s="14">
        <v>0.42</v>
      </c>
      <c r="I9" s="13">
        <v>124651.86666666665</v>
      </c>
      <c r="J9" s="15">
        <v>2</v>
      </c>
      <c r="K9" s="13">
        <v>13100308.546666669</v>
      </c>
      <c r="L9" s="13">
        <v>3138455.1400000006</v>
      </c>
      <c r="M9" s="13">
        <v>2254367.3900000006</v>
      </c>
      <c r="N9" s="179">
        <v>43831</v>
      </c>
      <c r="O9" s="16">
        <v>45292</v>
      </c>
      <c r="P9" s="13">
        <v>266027.24</v>
      </c>
      <c r="Q9" s="222" t="e">
        <v>#VALUE!</v>
      </c>
    </row>
    <row r="10" spans="1:17" x14ac:dyDescent="0.2">
      <c r="A10" s="4" t="s">
        <v>27</v>
      </c>
      <c r="B10" s="13">
        <v>834419812</v>
      </c>
      <c r="C10" s="13">
        <v>764900436.42999995</v>
      </c>
      <c r="D10" s="13">
        <v>69519375.570000052</v>
      </c>
      <c r="E10" s="13">
        <v>14743414.630000001</v>
      </c>
      <c r="F10" s="13">
        <v>18835586</v>
      </c>
      <c r="G10" s="14">
        <v>3.69</v>
      </c>
      <c r="H10" s="14">
        <v>0.78</v>
      </c>
      <c r="I10" s="13">
        <v>1228617.8858333335</v>
      </c>
      <c r="J10" s="15">
        <v>0</v>
      </c>
      <c r="K10" s="13">
        <v>69519375.570000052</v>
      </c>
      <c r="L10" s="13" t="s">
        <v>20</v>
      </c>
      <c r="M10" s="13" t="s">
        <v>20</v>
      </c>
      <c r="N10" s="179">
        <v>43739</v>
      </c>
      <c r="O10" s="16">
        <v>45200</v>
      </c>
      <c r="P10" s="13">
        <v>1504479.63</v>
      </c>
      <c r="Q10" s="222" t="e">
        <v>#VALUE!</v>
      </c>
    </row>
    <row r="11" spans="1:17" x14ac:dyDescent="0.2">
      <c r="A11" s="4" t="s">
        <v>31</v>
      </c>
      <c r="B11" s="13">
        <v>482520235</v>
      </c>
      <c r="C11" s="13">
        <v>442589635.99000001</v>
      </c>
      <c r="D11" s="13">
        <v>39930599.00999999</v>
      </c>
      <c r="E11" s="13">
        <v>8657856.6899999995</v>
      </c>
      <c r="F11" s="13">
        <v>11231021</v>
      </c>
      <c r="G11" s="14">
        <v>3.56</v>
      </c>
      <c r="H11" s="14">
        <v>0.77</v>
      </c>
      <c r="I11" s="13">
        <v>721488.0575</v>
      </c>
      <c r="J11" s="15">
        <v>2</v>
      </c>
      <c r="K11" s="13">
        <v>38487622.894999988</v>
      </c>
      <c r="L11" s="13">
        <v>8734278.5049999952</v>
      </c>
      <c r="M11" s="13">
        <v>5926523.2549999952</v>
      </c>
      <c r="N11" s="179">
        <v>43831</v>
      </c>
      <c r="O11" s="16">
        <v>45292</v>
      </c>
      <c r="P11" s="13">
        <v>1208021.8700000001</v>
      </c>
      <c r="Q11" s="222" t="e">
        <v>#VALUE!</v>
      </c>
    </row>
    <row r="12" spans="1:17" x14ac:dyDescent="0.2">
      <c r="A12" s="4" t="s">
        <v>28</v>
      </c>
      <c r="B12" s="13">
        <v>1922975437</v>
      </c>
      <c r="C12" s="13">
        <v>1843922128.8800001</v>
      </c>
      <c r="D12" s="13">
        <v>79053308.119999886</v>
      </c>
      <c r="E12" s="13">
        <v>21846010.609999999</v>
      </c>
      <c r="F12" s="13">
        <v>22385506</v>
      </c>
      <c r="G12" s="14">
        <v>3.53</v>
      </c>
      <c r="H12" s="14">
        <v>0.98</v>
      </c>
      <c r="I12" s="13">
        <v>1820500.8841666665</v>
      </c>
      <c r="J12" s="15">
        <v>8</v>
      </c>
      <c r="K12" s="13">
        <v>64489301.046666555</v>
      </c>
      <c r="L12" s="13">
        <v>4285287.0149999857</v>
      </c>
      <c r="M12" s="13">
        <v>2886192.8899999857</v>
      </c>
      <c r="N12" s="179">
        <v>43647</v>
      </c>
      <c r="O12" s="16">
        <v>45474</v>
      </c>
      <c r="P12" s="13">
        <v>1105906.28</v>
      </c>
      <c r="Q12" s="222" t="e">
        <v>#VALUE!</v>
      </c>
    </row>
    <row r="13" spans="1:17" x14ac:dyDescent="0.2">
      <c r="A13" s="4" t="s">
        <v>29</v>
      </c>
      <c r="B13" s="13">
        <v>782983569.92999995</v>
      </c>
      <c r="C13" s="13">
        <v>720230640.48000002</v>
      </c>
      <c r="D13" s="13">
        <v>62752929.449999928</v>
      </c>
      <c r="E13" s="13">
        <v>13622953.77</v>
      </c>
      <c r="F13" s="13">
        <v>17807834</v>
      </c>
      <c r="G13" s="14">
        <v>3.52</v>
      </c>
      <c r="H13" s="14">
        <v>0.76</v>
      </c>
      <c r="I13" s="13">
        <v>1135246.1475</v>
      </c>
      <c r="J13" s="15">
        <v>8</v>
      </c>
      <c r="K13" s="13">
        <v>53670960.269999929</v>
      </c>
      <c r="L13" s="13">
        <v>3392157.6812499911</v>
      </c>
      <c r="M13" s="13">
        <v>2279168.0562499911</v>
      </c>
      <c r="N13" s="179">
        <v>43647</v>
      </c>
      <c r="O13" s="16">
        <v>45474</v>
      </c>
      <c r="P13" s="13">
        <v>2207743.4700000002</v>
      </c>
      <c r="Q13" s="222" t="e">
        <v>#VALUE!</v>
      </c>
    </row>
    <row r="14" spans="1:17" x14ac:dyDescent="0.2">
      <c r="A14" s="4" t="s">
        <v>30</v>
      </c>
      <c r="B14" s="13">
        <v>1002620982.45</v>
      </c>
      <c r="C14" s="13">
        <v>933258751.86000001</v>
      </c>
      <c r="D14" s="13">
        <v>69362230.590000033</v>
      </c>
      <c r="E14" s="13">
        <v>24780701.780000001</v>
      </c>
      <c r="F14" s="13">
        <v>19866653</v>
      </c>
      <c r="G14" s="14">
        <v>3.49</v>
      </c>
      <c r="H14" s="14">
        <v>1.25</v>
      </c>
      <c r="I14" s="13">
        <v>2065058.4816666667</v>
      </c>
      <c r="J14" s="15">
        <v>5</v>
      </c>
      <c r="K14" s="13">
        <v>59036938.181666702</v>
      </c>
      <c r="L14" s="13">
        <v>5925784.918000007</v>
      </c>
      <c r="M14" s="13">
        <v>3939119.6180000068</v>
      </c>
      <c r="N14" s="179">
        <v>43922</v>
      </c>
      <c r="O14" s="16">
        <v>45383</v>
      </c>
      <c r="P14" s="13">
        <v>0</v>
      </c>
      <c r="Q14" s="222" t="e">
        <v>#VALUE!</v>
      </c>
    </row>
    <row r="15" spans="1:17" x14ac:dyDescent="0.2">
      <c r="A15" s="4" t="s">
        <v>32</v>
      </c>
      <c r="B15" s="13">
        <v>1141786689.4400001</v>
      </c>
      <c r="C15" s="13">
        <v>1053342302.85</v>
      </c>
      <c r="D15" s="13">
        <v>88444386.590000033</v>
      </c>
      <c r="E15" s="13">
        <v>20720925.32</v>
      </c>
      <c r="F15" s="13">
        <v>26492151</v>
      </c>
      <c r="G15" s="14">
        <v>3.34</v>
      </c>
      <c r="H15" s="14">
        <v>0.78</v>
      </c>
      <c r="I15" s="13">
        <v>1726743.7766666666</v>
      </c>
      <c r="J15" s="15">
        <v>8</v>
      </c>
      <c r="K15" s="13">
        <v>74630436.376666695</v>
      </c>
      <c r="L15" s="13">
        <v>4432510.5737500042</v>
      </c>
      <c r="M15" s="13">
        <v>2776751.1362500042</v>
      </c>
      <c r="N15" s="179">
        <v>43647</v>
      </c>
      <c r="O15" s="16">
        <v>45474</v>
      </c>
      <c r="P15" s="13">
        <v>470606</v>
      </c>
      <c r="Q15" s="222" t="e">
        <v>#VALUE!</v>
      </c>
    </row>
    <row r="16" spans="1:17" x14ac:dyDescent="0.2">
      <c r="A16" s="4" t="s">
        <v>34</v>
      </c>
      <c r="B16" s="13">
        <v>1408362784.9100001</v>
      </c>
      <c r="C16" s="13">
        <v>1305337872.46</v>
      </c>
      <c r="D16" s="13">
        <v>103024912.45000005</v>
      </c>
      <c r="E16" s="13">
        <v>28920930.98</v>
      </c>
      <c r="F16" s="13">
        <v>31050303</v>
      </c>
      <c r="G16" s="14">
        <v>3.32</v>
      </c>
      <c r="H16" s="14">
        <v>0.93</v>
      </c>
      <c r="I16" s="13">
        <v>2410077.5816666665</v>
      </c>
      <c r="J16" s="15">
        <v>8</v>
      </c>
      <c r="K16" s="13">
        <v>83744291.796666712</v>
      </c>
      <c r="L16" s="13">
        <v>5115538.306250006</v>
      </c>
      <c r="M16" s="13">
        <v>3174894.368750006</v>
      </c>
      <c r="N16" s="179">
        <v>43647</v>
      </c>
      <c r="O16" s="16">
        <v>45474</v>
      </c>
      <c r="P16" s="13">
        <v>3867323.16</v>
      </c>
      <c r="Q16" s="222" t="e">
        <v>#VALUE!</v>
      </c>
    </row>
    <row r="17" spans="1:17" x14ac:dyDescent="0.2">
      <c r="A17" s="4" t="s">
        <v>35</v>
      </c>
      <c r="B17" s="13">
        <v>775111638</v>
      </c>
      <c r="C17" s="13">
        <v>713313050.69000006</v>
      </c>
      <c r="D17" s="13">
        <v>61798587.309999943</v>
      </c>
      <c r="E17" s="13">
        <v>13605811.08</v>
      </c>
      <c r="F17" s="13">
        <v>18806749</v>
      </c>
      <c r="G17" s="14">
        <v>3.29</v>
      </c>
      <c r="H17" s="14">
        <v>0.72</v>
      </c>
      <c r="I17" s="13">
        <v>1133817.5900000001</v>
      </c>
      <c r="J17" s="15">
        <v>8</v>
      </c>
      <c r="K17" s="13">
        <v>52728046.589999944</v>
      </c>
      <c r="L17" s="13">
        <v>3023136.1637499928</v>
      </c>
      <c r="M17" s="13">
        <v>1847714.3512499928</v>
      </c>
      <c r="N17" s="179">
        <v>43647</v>
      </c>
      <c r="O17" s="16">
        <v>45474</v>
      </c>
      <c r="P17" s="13">
        <v>1103000</v>
      </c>
      <c r="Q17" s="222" t="e">
        <v>#VALUE!</v>
      </c>
    </row>
    <row r="18" spans="1:17" x14ac:dyDescent="0.2">
      <c r="A18" s="4" t="s">
        <v>36</v>
      </c>
      <c r="B18" s="13">
        <v>383394888</v>
      </c>
      <c r="C18" s="13">
        <v>353112638.92000002</v>
      </c>
      <c r="D18" s="13">
        <v>30282249.079999983</v>
      </c>
      <c r="E18" s="13">
        <v>7510949.6200000001</v>
      </c>
      <c r="F18" s="13">
        <v>9345978</v>
      </c>
      <c r="G18" s="14">
        <v>3.24</v>
      </c>
      <c r="H18" s="14">
        <v>0.8</v>
      </c>
      <c r="I18" s="13">
        <v>625912.46833333338</v>
      </c>
      <c r="J18" s="15">
        <v>5</v>
      </c>
      <c r="K18" s="13">
        <v>27152686.738333315</v>
      </c>
      <c r="L18" s="13">
        <v>2318058.6159999967</v>
      </c>
      <c r="M18" s="13">
        <v>1383460.8159999966</v>
      </c>
      <c r="N18" s="179">
        <v>43556</v>
      </c>
      <c r="O18" s="16">
        <v>45383</v>
      </c>
      <c r="P18" s="13">
        <v>131017.33</v>
      </c>
      <c r="Q18" s="222" t="e">
        <v>#VALUE!</v>
      </c>
    </row>
    <row r="19" spans="1:17" x14ac:dyDescent="0.2">
      <c r="A19" s="4" t="s">
        <v>37</v>
      </c>
      <c r="B19" s="13">
        <v>183964974</v>
      </c>
      <c r="C19" s="13">
        <v>171480274.53999999</v>
      </c>
      <c r="D19" s="13">
        <v>12484699.460000008</v>
      </c>
      <c r="E19" s="13">
        <v>2375922</v>
      </c>
      <c r="F19" s="13">
        <v>3849554</v>
      </c>
      <c r="G19" s="14">
        <v>3.24</v>
      </c>
      <c r="H19" s="14">
        <v>0.62</v>
      </c>
      <c r="I19" s="13">
        <v>197993.5</v>
      </c>
      <c r="J19" s="15">
        <v>8</v>
      </c>
      <c r="K19" s="13">
        <v>10900751.460000008</v>
      </c>
      <c r="L19" s="13">
        <v>598198.93250000104</v>
      </c>
      <c r="M19" s="13">
        <v>357601.80750000104</v>
      </c>
      <c r="N19" s="179">
        <v>43647</v>
      </c>
      <c r="O19" s="16">
        <v>45474</v>
      </c>
      <c r="P19" s="13">
        <v>56791.519999999997</v>
      </c>
      <c r="Q19" s="222" t="e">
        <v>#VALUE!</v>
      </c>
    </row>
    <row r="20" spans="1:17" x14ac:dyDescent="0.2">
      <c r="A20" s="4" t="s">
        <v>44</v>
      </c>
      <c r="B20" s="13">
        <v>293820746.33999997</v>
      </c>
      <c r="C20" s="13">
        <v>272004333.51999998</v>
      </c>
      <c r="D20" s="13">
        <v>21816412.819999993</v>
      </c>
      <c r="E20" s="13">
        <v>9163371.5199999996</v>
      </c>
      <c r="F20" s="13">
        <v>6746804</v>
      </c>
      <c r="G20" s="14">
        <v>3.23</v>
      </c>
      <c r="H20" s="14">
        <v>1.36</v>
      </c>
      <c r="I20" s="13">
        <v>763614.29333333333</v>
      </c>
      <c r="J20" s="15">
        <v>8</v>
      </c>
      <c r="K20" s="13">
        <v>15707498.473333325</v>
      </c>
      <c r="L20" s="13">
        <v>1040350.6024999991</v>
      </c>
      <c r="M20" s="13" t="s">
        <v>42</v>
      </c>
      <c r="N20" s="179">
        <v>43647</v>
      </c>
      <c r="O20" s="16">
        <v>45474</v>
      </c>
      <c r="P20" s="13">
        <v>385736.91</v>
      </c>
      <c r="Q20" s="222" t="e">
        <v>#VALUE!</v>
      </c>
    </row>
    <row r="21" spans="1:17" x14ac:dyDescent="0.2">
      <c r="A21" s="4" t="s">
        <v>33</v>
      </c>
      <c r="B21" s="13">
        <v>987264872</v>
      </c>
      <c r="C21" s="13">
        <v>916596644</v>
      </c>
      <c r="D21" s="13">
        <v>70668228</v>
      </c>
      <c r="E21" s="13">
        <v>33609297.170000002</v>
      </c>
      <c r="F21" s="13">
        <v>23383549</v>
      </c>
      <c r="G21" s="14">
        <v>3.02</v>
      </c>
      <c r="H21" s="14">
        <v>1.44</v>
      </c>
      <c r="I21" s="13">
        <v>2800774.7641666667</v>
      </c>
      <c r="J21" s="15">
        <v>5</v>
      </c>
      <c r="K21" s="13">
        <v>56664354.179166667</v>
      </c>
      <c r="L21" s="13">
        <v>4780226</v>
      </c>
      <c r="M21" s="13" t="s">
        <v>42</v>
      </c>
      <c r="N21" s="179">
        <v>43922</v>
      </c>
      <c r="O21" s="16">
        <v>45383</v>
      </c>
      <c r="P21" s="13">
        <v>2824820.4</v>
      </c>
      <c r="Q21" s="222" t="e">
        <v>#VALUE!</v>
      </c>
    </row>
    <row r="22" spans="1:17" x14ac:dyDescent="0.2">
      <c r="A22" s="4" t="s">
        <v>60</v>
      </c>
      <c r="B22" s="13">
        <v>342887810.45999998</v>
      </c>
      <c r="C22" s="13">
        <v>318201733.74000001</v>
      </c>
      <c r="D22" s="13">
        <v>24686076.719999969</v>
      </c>
      <c r="E22" s="13">
        <v>7936396.0199999996</v>
      </c>
      <c r="F22" s="13">
        <v>8236180</v>
      </c>
      <c r="G22" s="14">
        <v>3</v>
      </c>
      <c r="H22" s="14">
        <v>0.96</v>
      </c>
      <c r="I22" s="13">
        <v>661366.33499999996</v>
      </c>
      <c r="J22" s="15">
        <v>5</v>
      </c>
      <c r="K22" s="13">
        <v>21379245.044999968</v>
      </c>
      <c r="L22" s="13">
        <v>1642743.3439999938</v>
      </c>
      <c r="M22" s="13">
        <v>819125.34399999375</v>
      </c>
      <c r="N22" s="179">
        <v>43556</v>
      </c>
      <c r="O22" s="16">
        <v>45383</v>
      </c>
      <c r="P22" s="13">
        <v>348720.22</v>
      </c>
      <c r="Q22" s="222" t="e">
        <v>#VALUE!</v>
      </c>
    </row>
    <row r="23" spans="1:17" x14ac:dyDescent="0.2">
      <c r="A23" s="4" t="s">
        <v>39</v>
      </c>
      <c r="B23" s="13">
        <v>490026128.91000003</v>
      </c>
      <c r="C23" s="13">
        <v>458163465.18000001</v>
      </c>
      <c r="D23" s="13">
        <v>31862663.730000019</v>
      </c>
      <c r="E23" s="13">
        <v>10793671.220000001</v>
      </c>
      <c r="F23" s="13">
        <v>10665728</v>
      </c>
      <c r="G23" s="14">
        <v>2.99</v>
      </c>
      <c r="H23" s="14">
        <v>1.01</v>
      </c>
      <c r="I23" s="13">
        <v>899472.60166666668</v>
      </c>
      <c r="J23" s="15">
        <v>8</v>
      </c>
      <c r="K23" s="13">
        <v>24666882.916666687</v>
      </c>
      <c r="L23" s="13">
        <v>1316400.9662500024</v>
      </c>
      <c r="M23" s="13" t="s">
        <v>42</v>
      </c>
      <c r="N23" s="179">
        <v>43647</v>
      </c>
      <c r="O23" s="16">
        <v>45474</v>
      </c>
      <c r="P23" s="13">
        <v>767424.59</v>
      </c>
      <c r="Q23" s="222" t="e">
        <v>#VALUE!</v>
      </c>
    </row>
    <row r="24" spans="1:17" x14ac:dyDescent="0.2">
      <c r="A24" s="4" t="s">
        <v>43</v>
      </c>
      <c r="B24" s="13">
        <v>248558577</v>
      </c>
      <c r="C24" s="13">
        <v>232049715.46000001</v>
      </c>
      <c r="D24" s="13">
        <v>16508861.539999992</v>
      </c>
      <c r="E24" s="13">
        <v>7213724.0899999999</v>
      </c>
      <c r="F24" s="13">
        <v>5790145</v>
      </c>
      <c r="G24" s="14">
        <v>2.85</v>
      </c>
      <c r="H24" s="14">
        <v>1.25</v>
      </c>
      <c r="I24" s="13">
        <v>601143.67416666669</v>
      </c>
      <c r="J24" s="15">
        <v>2</v>
      </c>
      <c r="K24" s="13">
        <v>15306574.191666659</v>
      </c>
      <c r="L24" s="13">
        <v>2464285.7699999958</v>
      </c>
      <c r="M24" s="13">
        <v>1016749.5199999958</v>
      </c>
      <c r="N24" s="179">
        <v>43831</v>
      </c>
      <c r="O24" s="16">
        <v>45292</v>
      </c>
      <c r="P24" s="13">
        <v>323916.34000000003</v>
      </c>
      <c r="Q24" s="222" t="e">
        <v>#VALUE!</v>
      </c>
    </row>
    <row r="25" spans="1:17" x14ac:dyDescent="0.2">
      <c r="A25" s="4" t="s">
        <v>46</v>
      </c>
      <c r="B25" s="13">
        <v>306076596.48000002</v>
      </c>
      <c r="C25" s="13">
        <v>283949845.79000002</v>
      </c>
      <c r="D25" s="13">
        <v>22126750.689999998</v>
      </c>
      <c r="E25" s="13">
        <v>7196016.2699999996</v>
      </c>
      <c r="F25" s="13">
        <v>8165077</v>
      </c>
      <c r="G25" s="14">
        <v>2.71</v>
      </c>
      <c r="H25" s="14">
        <v>0.88</v>
      </c>
      <c r="I25" s="13">
        <v>599668.02249999996</v>
      </c>
      <c r="J25" s="15">
        <v>8</v>
      </c>
      <c r="K25" s="13">
        <v>17329406.509999998</v>
      </c>
      <c r="L25" s="13">
        <v>724574.5862499997</v>
      </c>
      <c r="M25" s="13" t="s">
        <v>42</v>
      </c>
      <c r="N25" s="179">
        <v>43647</v>
      </c>
      <c r="O25" s="16">
        <v>45474</v>
      </c>
      <c r="P25" s="13">
        <v>1103185.5900000001</v>
      </c>
      <c r="Q25" s="222" t="e">
        <v>#VALUE!</v>
      </c>
    </row>
    <row r="26" spans="1:17" x14ac:dyDescent="0.2">
      <c r="A26" s="4" t="s">
        <v>45</v>
      </c>
      <c r="B26" s="13">
        <v>1960284894.29</v>
      </c>
      <c r="C26" s="13">
        <v>1849208400.3900001</v>
      </c>
      <c r="D26" s="13">
        <v>111076493.89999986</v>
      </c>
      <c r="E26" s="13">
        <v>40256688.689999998</v>
      </c>
      <c r="F26" s="13">
        <v>41120349</v>
      </c>
      <c r="G26" s="14">
        <v>2.7</v>
      </c>
      <c r="H26" s="14">
        <v>0.98</v>
      </c>
      <c r="I26" s="13">
        <v>3354724.0574999996</v>
      </c>
      <c r="J26" s="15">
        <v>2</v>
      </c>
      <c r="K26" s="13">
        <v>104367045.78499986</v>
      </c>
      <c r="L26" s="13">
        <v>14417897.949999928</v>
      </c>
      <c r="M26" s="13">
        <v>4137810.6999999285</v>
      </c>
      <c r="N26" s="179">
        <v>43831</v>
      </c>
      <c r="O26" s="16">
        <v>45292</v>
      </c>
      <c r="P26" s="13">
        <v>3387087.72</v>
      </c>
      <c r="Q26" s="222" t="e">
        <v>#VALUE!</v>
      </c>
    </row>
    <row r="27" spans="1:17" x14ac:dyDescent="0.2">
      <c r="A27" s="4" t="s">
        <v>47</v>
      </c>
      <c r="B27" s="13">
        <v>101716763</v>
      </c>
      <c r="C27" s="13">
        <v>94466109.590000004</v>
      </c>
      <c r="D27" s="13">
        <v>7250653.4099999964</v>
      </c>
      <c r="E27" s="13">
        <v>2347883.02</v>
      </c>
      <c r="F27" s="13">
        <v>2699725</v>
      </c>
      <c r="G27" s="14">
        <v>2.69</v>
      </c>
      <c r="H27" s="14">
        <v>0.87</v>
      </c>
      <c r="I27" s="13">
        <v>195656.91833333333</v>
      </c>
      <c r="J27" s="15">
        <v>8</v>
      </c>
      <c r="K27" s="13">
        <v>5685398.0633333297</v>
      </c>
      <c r="L27" s="13">
        <v>231400.42624999955</v>
      </c>
      <c r="M27" s="13" t="s">
        <v>42</v>
      </c>
      <c r="N27" s="179">
        <v>43647</v>
      </c>
      <c r="O27" s="16">
        <v>45474</v>
      </c>
      <c r="P27" s="13">
        <v>0</v>
      </c>
      <c r="Q27" s="222" t="e">
        <v>#VALUE!</v>
      </c>
    </row>
    <row r="28" spans="1:17" x14ac:dyDescent="0.2">
      <c r="A28" s="4" t="s">
        <v>38</v>
      </c>
      <c r="B28" s="13">
        <v>514448817.88</v>
      </c>
      <c r="C28" s="13">
        <v>478052921.14999998</v>
      </c>
      <c r="D28" s="13">
        <v>36395896.730000019</v>
      </c>
      <c r="E28" s="13">
        <v>15895831.029999999</v>
      </c>
      <c r="F28" s="13">
        <v>13912108</v>
      </c>
      <c r="G28" s="14">
        <v>2.62</v>
      </c>
      <c r="H28" s="14">
        <v>1.1399999999999999</v>
      </c>
      <c r="I28" s="13">
        <v>1324652.5858333332</v>
      </c>
      <c r="J28" s="15">
        <v>8</v>
      </c>
      <c r="K28" s="13">
        <v>25798676.043333352</v>
      </c>
      <c r="L28" s="13" t="s">
        <v>42</v>
      </c>
      <c r="M28" s="13" t="s">
        <v>42</v>
      </c>
      <c r="N28" s="179">
        <v>43647</v>
      </c>
      <c r="O28" s="16">
        <v>45474</v>
      </c>
      <c r="P28" s="13">
        <v>583850.04</v>
      </c>
      <c r="Q28" s="222" t="e">
        <v>#VALUE!</v>
      </c>
    </row>
    <row r="29" spans="1:17" x14ac:dyDescent="0.2">
      <c r="A29" s="4" t="s">
        <v>41</v>
      </c>
      <c r="B29" s="13">
        <v>1181321553.53</v>
      </c>
      <c r="C29" s="13">
        <v>1059565898.9</v>
      </c>
      <c r="D29" s="13">
        <v>121755654.63</v>
      </c>
      <c r="E29" s="13">
        <v>67587193.780000001</v>
      </c>
      <c r="F29" s="13">
        <v>47769843</v>
      </c>
      <c r="G29" s="14">
        <v>2.5499999999999998</v>
      </c>
      <c r="H29" s="14">
        <v>1.41</v>
      </c>
      <c r="I29" s="13">
        <v>5632266.1483333334</v>
      </c>
      <c r="J29" s="15">
        <v>2</v>
      </c>
      <c r="K29" s="13">
        <v>110491122.33333333</v>
      </c>
      <c r="L29" s="13">
        <v>13107984.314999998</v>
      </c>
      <c r="M29" s="13" t="s">
        <v>42</v>
      </c>
      <c r="N29" s="179">
        <v>43831</v>
      </c>
      <c r="O29" s="16">
        <v>45292</v>
      </c>
      <c r="P29" s="13">
        <v>8557170.8399999999</v>
      </c>
      <c r="Q29" s="222" t="e">
        <v>#VALUE!</v>
      </c>
    </row>
    <row r="30" spans="1:17" x14ac:dyDescent="0.2">
      <c r="A30" s="4" t="s">
        <v>51</v>
      </c>
      <c r="B30" s="13">
        <v>1035563531</v>
      </c>
      <c r="C30" s="13">
        <v>974900057.02999997</v>
      </c>
      <c r="D30" s="13">
        <v>60663473.970000029</v>
      </c>
      <c r="E30" s="13">
        <v>18826868.359999999</v>
      </c>
      <c r="F30" s="13">
        <v>24645105</v>
      </c>
      <c r="G30" s="14">
        <v>2.46</v>
      </c>
      <c r="H30" s="14">
        <v>0.76</v>
      </c>
      <c r="I30" s="13">
        <v>1568905.6966666665</v>
      </c>
      <c r="J30" s="15">
        <v>2</v>
      </c>
      <c r="K30" s="13">
        <v>57525662.576666698</v>
      </c>
      <c r="L30" s="13">
        <v>5686631.9850000143</v>
      </c>
      <c r="M30" s="13" t="s">
        <v>42</v>
      </c>
      <c r="N30" s="179">
        <v>43831</v>
      </c>
      <c r="O30" s="16">
        <v>45292</v>
      </c>
      <c r="P30" s="13">
        <v>2333749.88</v>
      </c>
      <c r="Q30" s="222" t="e">
        <v>#VALUE!</v>
      </c>
    </row>
    <row r="31" spans="1:17" x14ac:dyDescent="0.2">
      <c r="A31" s="4" t="s">
        <v>49</v>
      </c>
      <c r="B31" s="13">
        <v>1215383392.1700001</v>
      </c>
      <c r="C31" s="13">
        <v>1156830699.27</v>
      </c>
      <c r="D31" s="13">
        <v>58552692.900000095</v>
      </c>
      <c r="E31" s="13">
        <v>17967122.129999999</v>
      </c>
      <c r="F31" s="13">
        <v>24335266</v>
      </c>
      <c r="G31" s="14">
        <v>2.41</v>
      </c>
      <c r="H31" s="14">
        <v>0.74</v>
      </c>
      <c r="I31" s="13">
        <v>1497260.1775</v>
      </c>
      <c r="J31" s="15">
        <v>8</v>
      </c>
      <c r="K31" s="13">
        <v>46574611.480000094</v>
      </c>
      <c r="L31" s="13" t="s">
        <v>42</v>
      </c>
      <c r="M31" s="13" t="s">
        <v>42</v>
      </c>
      <c r="N31" s="179">
        <v>43647</v>
      </c>
      <c r="O31" s="16">
        <v>45474</v>
      </c>
      <c r="P31" s="13">
        <v>2455991.25</v>
      </c>
      <c r="Q31" s="222" t="e">
        <v>#VALUE!</v>
      </c>
    </row>
    <row r="32" spans="1:17" x14ac:dyDescent="0.2">
      <c r="A32" s="4" t="s">
        <v>50</v>
      </c>
      <c r="B32" s="13">
        <v>1601312682.0699999</v>
      </c>
      <c r="C32" s="13">
        <v>1503144540.28</v>
      </c>
      <c r="D32" s="13">
        <v>98168141.789999962</v>
      </c>
      <c r="E32" s="13">
        <v>39308213.240000002</v>
      </c>
      <c r="F32" s="13">
        <v>41389514</v>
      </c>
      <c r="G32" s="14">
        <v>2.37</v>
      </c>
      <c r="H32" s="14">
        <v>0.95</v>
      </c>
      <c r="I32" s="13">
        <v>3275684.436666667</v>
      </c>
      <c r="J32" s="15">
        <v>8</v>
      </c>
      <c r="K32" s="13">
        <v>71962666.296666622</v>
      </c>
      <c r="L32" s="13" t="s">
        <v>42</v>
      </c>
      <c r="M32" s="13" t="s">
        <v>42</v>
      </c>
      <c r="N32" s="179">
        <v>43647</v>
      </c>
      <c r="O32" s="16">
        <v>45474</v>
      </c>
      <c r="P32" s="13">
        <v>2410697.44</v>
      </c>
      <c r="Q32" s="222" t="e">
        <v>#VALUE!</v>
      </c>
    </row>
    <row r="33" spans="1:17" x14ac:dyDescent="0.2">
      <c r="A33" s="4" t="s">
        <v>55</v>
      </c>
      <c r="B33" s="13">
        <v>660266370</v>
      </c>
      <c r="C33" s="13">
        <v>626853219.87</v>
      </c>
      <c r="D33" s="13">
        <v>33413150.129999995</v>
      </c>
      <c r="E33" s="13">
        <v>11988749.789999999</v>
      </c>
      <c r="F33" s="13">
        <v>14821600</v>
      </c>
      <c r="G33" s="14">
        <v>2.25</v>
      </c>
      <c r="H33" s="14">
        <v>0.81</v>
      </c>
      <c r="I33" s="13">
        <v>999062.48249999993</v>
      </c>
      <c r="J33" s="15">
        <v>2</v>
      </c>
      <c r="K33" s="13">
        <v>31415025.164999995</v>
      </c>
      <c r="L33" s="13">
        <v>1884975.0649999976</v>
      </c>
      <c r="M33" s="13" t="s">
        <v>42</v>
      </c>
      <c r="N33" s="179">
        <v>43466</v>
      </c>
      <c r="O33" s="16">
        <v>45292</v>
      </c>
      <c r="P33" s="13">
        <v>986599.65</v>
      </c>
      <c r="Q33" s="222" t="e">
        <v>#VALUE!</v>
      </c>
    </row>
    <row r="34" spans="1:17" x14ac:dyDescent="0.2">
      <c r="A34" s="4" t="s">
        <v>53</v>
      </c>
      <c r="B34" s="13">
        <v>2808699464.54</v>
      </c>
      <c r="C34" s="13">
        <v>2654388824.6500001</v>
      </c>
      <c r="D34" s="13">
        <v>154310639.88999987</v>
      </c>
      <c r="E34" s="13">
        <v>72636070.359999999</v>
      </c>
      <c r="F34" s="13">
        <v>68807928.950000003</v>
      </c>
      <c r="G34" s="14">
        <v>2.2400000000000002</v>
      </c>
      <c r="H34" s="14">
        <v>1.06</v>
      </c>
      <c r="I34" s="13">
        <v>6053005.8633333333</v>
      </c>
      <c r="J34" s="15">
        <v>0</v>
      </c>
      <c r="K34" s="13">
        <v>154310639.88999987</v>
      </c>
      <c r="L34" s="13" t="s">
        <v>20</v>
      </c>
      <c r="M34" s="13" t="s">
        <v>42</v>
      </c>
      <c r="N34" s="179">
        <v>44075</v>
      </c>
      <c r="O34" s="16">
        <v>45170</v>
      </c>
      <c r="P34" s="13">
        <v>4768647.1399999997</v>
      </c>
      <c r="Q34" s="222" t="e">
        <v>#VALUE!</v>
      </c>
    </row>
    <row r="35" spans="1:17" x14ac:dyDescent="0.2">
      <c r="A35" s="4" t="s">
        <v>56</v>
      </c>
      <c r="B35" s="13">
        <v>1127333975</v>
      </c>
      <c r="C35" s="13">
        <v>1064756036.05</v>
      </c>
      <c r="D35" s="13">
        <v>62577938.950000048</v>
      </c>
      <c r="E35" s="13">
        <v>25172353.370000001</v>
      </c>
      <c r="F35" s="13">
        <v>28091254</v>
      </c>
      <c r="G35" s="14">
        <v>2.23</v>
      </c>
      <c r="H35" s="14">
        <v>0.9</v>
      </c>
      <c r="I35" s="13">
        <v>2097696.1141666668</v>
      </c>
      <c r="J35" s="15">
        <v>8</v>
      </c>
      <c r="K35" s="13">
        <v>45796370.036666714</v>
      </c>
      <c r="L35" s="13" t="s">
        <v>42</v>
      </c>
      <c r="M35" s="13" t="s">
        <v>42</v>
      </c>
      <c r="N35" s="179">
        <v>43647</v>
      </c>
      <c r="O35" s="16">
        <v>45474</v>
      </c>
      <c r="P35" s="13">
        <v>913161.57</v>
      </c>
      <c r="Q35" s="222" t="e">
        <v>#VALUE!</v>
      </c>
    </row>
    <row r="36" spans="1:17" x14ac:dyDescent="0.2">
      <c r="A36" s="4" t="s">
        <v>48</v>
      </c>
      <c r="B36" s="13">
        <v>533753437.31</v>
      </c>
      <c r="C36" s="13">
        <v>508522919.31</v>
      </c>
      <c r="D36" s="13">
        <v>25230518</v>
      </c>
      <c r="E36" s="13">
        <v>18077523</v>
      </c>
      <c r="F36" s="13">
        <v>11499421</v>
      </c>
      <c r="G36" s="14">
        <v>2.19</v>
      </c>
      <c r="H36" s="14">
        <v>1.57</v>
      </c>
      <c r="I36" s="13">
        <v>1506460.25</v>
      </c>
      <c r="J36" s="15">
        <v>2</v>
      </c>
      <c r="K36" s="13">
        <v>22217597.5</v>
      </c>
      <c r="L36" s="13" t="s">
        <v>42</v>
      </c>
      <c r="M36" s="13" t="s">
        <v>42</v>
      </c>
      <c r="N36" s="179">
        <v>43831</v>
      </c>
      <c r="O36" s="16">
        <v>45292</v>
      </c>
      <c r="P36" s="13">
        <v>3412895</v>
      </c>
      <c r="Q36" s="222" t="e">
        <v>#VALUE!</v>
      </c>
    </row>
    <row r="37" spans="1:17" x14ac:dyDescent="0.2">
      <c r="A37" s="4" t="s">
        <v>52</v>
      </c>
      <c r="B37" s="13">
        <v>508943489</v>
      </c>
      <c r="C37" s="13">
        <v>481052475.18000001</v>
      </c>
      <c r="D37" s="13">
        <v>27891013.819999993</v>
      </c>
      <c r="E37" s="13">
        <v>14168722.439999999</v>
      </c>
      <c r="F37" s="13">
        <v>12834399</v>
      </c>
      <c r="G37" s="14">
        <v>2.17</v>
      </c>
      <c r="H37" s="14">
        <v>1.1000000000000001</v>
      </c>
      <c r="I37" s="13">
        <v>1180726.8699999999</v>
      </c>
      <c r="J37" s="15">
        <v>8</v>
      </c>
      <c r="K37" s="13">
        <v>18445198.859999992</v>
      </c>
      <c r="L37" s="13" t="s">
        <v>42</v>
      </c>
      <c r="M37" s="13" t="s">
        <v>42</v>
      </c>
      <c r="N37" s="179">
        <v>43647</v>
      </c>
      <c r="O37" s="16">
        <v>45474</v>
      </c>
      <c r="P37" s="13">
        <v>1695983.98</v>
      </c>
      <c r="Q37" s="222" t="e">
        <v>#VALUE!</v>
      </c>
    </row>
    <row r="38" spans="1:17" x14ac:dyDescent="0.2">
      <c r="A38" s="4" t="s">
        <v>54</v>
      </c>
      <c r="B38" s="13">
        <v>1359513127.99</v>
      </c>
      <c r="C38" s="13">
        <v>1287222128.6500001</v>
      </c>
      <c r="D38" s="13">
        <v>72290999.339999914</v>
      </c>
      <c r="E38" s="13">
        <v>29740300.77</v>
      </c>
      <c r="F38" s="13">
        <v>33898476</v>
      </c>
      <c r="G38" s="14">
        <v>2.13</v>
      </c>
      <c r="H38" s="14">
        <v>0.88</v>
      </c>
      <c r="I38" s="13">
        <v>2478358.3975</v>
      </c>
      <c r="J38" s="15">
        <v>5</v>
      </c>
      <c r="K38" s="13">
        <v>59899207.352499917</v>
      </c>
      <c r="L38" s="13" t="s">
        <v>42</v>
      </c>
      <c r="M38" s="13" t="s">
        <v>42</v>
      </c>
      <c r="N38" s="179">
        <v>43922</v>
      </c>
      <c r="O38" s="16">
        <v>45383</v>
      </c>
      <c r="P38" s="13">
        <v>6323068.4000000004</v>
      </c>
      <c r="Q38" s="222" t="e">
        <v>#VALUE!</v>
      </c>
    </row>
    <row r="39" spans="1:17" x14ac:dyDescent="0.2">
      <c r="A39" s="4" t="s">
        <v>58</v>
      </c>
      <c r="B39" s="13">
        <v>1182616448</v>
      </c>
      <c r="C39" s="13">
        <v>1135149115.3399999</v>
      </c>
      <c r="D39" s="13">
        <v>47467332.660000086</v>
      </c>
      <c r="E39" s="13">
        <v>21356105.760000002</v>
      </c>
      <c r="F39" s="13">
        <v>22759065</v>
      </c>
      <c r="G39" s="14">
        <v>2.09</v>
      </c>
      <c r="H39" s="14">
        <v>0.94</v>
      </c>
      <c r="I39" s="13">
        <v>1779675.4800000002</v>
      </c>
      <c r="J39" s="15">
        <v>5</v>
      </c>
      <c r="K39" s="13">
        <v>38568955.260000087</v>
      </c>
      <c r="L39" s="13" t="s">
        <v>42</v>
      </c>
      <c r="M39" s="13" t="s">
        <v>42</v>
      </c>
      <c r="N39" s="179">
        <v>43922</v>
      </c>
      <c r="O39" s="16">
        <v>45383</v>
      </c>
      <c r="P39" s="13">
        <v>1796337.44</v>
      </c>
      <c r="Q39" s="222" t="e">
        <v>#VALUE!</v>
      </c>
    </row>
    <row r="40" spans="1:17" x14ac:dyDescent="0.2">
      <c r="A40" s="4" t="s">
        <v>57</v>
      </c>
      <c r="B40" s="13">
        <v>95802497</v>
      </c>
      <c r="C40" s="13">
        <v>89816668.900000006</v>
      </c>
      <c r="D40" s="13">
        <v>5985828.099999994</v>
      </c>
      <c r="E40" s="13">
        <v>5805282.1500000004</v>
      </c>
      <c r="F40" s="13">
        <v>2895399</v>
      </c>
      <c r="G40" s="14">
        <v>2.0699999999999998</v>
      </c>
      <c r="H40" s="14">
        <v>2.0099999999999998</v>
      </c>
      <c r="I40" s="13">
        <v>483773.51250000001</v>
      </c>
      <c r="J40" s="15">
        <v>8</v>
      </c>
      <c r="K40" s="13">
        <v>2115639.9999999939</v>
      </c>
      <c r="L40" s="13" t="s">
        <v>42</v>
      </c>
      <c r="M40" s="13" t="s">
        <v>42</v>
      </c>
      <c r="N40" s="179">
        <v>43647</v>
      </c>
      <c r="O40" s="16">
        <v>45474</v>
      </c>
      <c r="P40" s="13">
        <v>122746.65</v>
      </c>
      <c r="Q40" s="222" t="e">
        <v>#VALUE!</v>
      </c>
    </row>
    <row r="41" spans="1:17" x14ac:dyDescent="0.2">
      <c r="A41" s="4" t="s">
        <v>59</v>
      </c>
      <c r="B41" s="13">
        <v>270139589</v>
      </c>
      <c r="C41" s="13">
        <v>255250433.47999999</v>
      </c>
      <c r="D41" s="13">
        <v>14889155.520000011</v>
      </c>
      <c r="E41" s="13">
        <v>6385976.0199999996</v>
      </c>
      <c r="F41" s="13">
        <v>7334647</v>
      </c>
      <c r="G41" s="14">
        <v>2.0299999999999998</v>
      </c>
      <c r="H41" s="14">
        <v>0.87</v>
      </c>
      <c r="I41" s="13">
        <v>532164.66833333333</v>
      </c>
      <c r="J41" s="15">
        <v>8</v>
      </c>
      <c r="K41" s="13">
        <v>10631838.173333343</v>
      </c>
      <c r="L41" s="13" t="s">
        <v>42</v>
      </c>
      <c r="M41" s="13" t="s">
        <v>42</v>
      </c>
      <c r="N41" s="179">
        <v>43647</v>
      </c>
      <c r="O41" s="16">
        <v>45474</v>
      </c>
      <c r="P41" s="13">
        <v>770204</v>
      </c>
      <c r="Q41" s="222" t="e">
        <v>#VALUE!</v>
      </c>
    </row>
    <row r="42" spans="1:17" x14ac:dyDescent="0.2">
      <c r="A42" s="4" t="s">
        <v>61</v>
      </c>
      <c r="B42" s="13">
        <v>1062416247.5</v>
      </c>
      <c r="C42" s="13">
        <v>1016879755.52</v>
      </c>
      <c r="D42" s="13">
        <v>45536491.980000019</v>
      </c>
      <c r="E42" s="13">
        <v>23517735.640000001</v>
      </c>
      <c r="F42" s="13">
        <v>23271036</v>
      </c>
      <c r="G42" s="14">
        <v>1.96</v>
      </c>
      <c r="H42" s="14">
        <v>1.01</v>
      </c>
      <c r="I42" s="13">
        <v>1959811.3033333335</v>
      </c>
      <c r="J42" s="15">
        <v>5</v>
      </c>
      <c r="K42" s="13">
        <v>35737435.463333353</v>
      </c>
      <c r="L42" s="13" t="s">
        <v>42</v>
      </c>
      <c r="M42" s="13" t="s">
        <v>42</v>
      </c>
      <c r="N42" s="179">
        <v>43556</v>
      </c>
      <c r="O42" s="16">
        <v>45383</v>
      </c>
      <c r="P42" s="13">
        <v>3260531.88</v>
      </c>
      <c r="Q42" s="222" t="e">
        <v>#VALUE!</v>
      </c>
    </row>
    <row r="43" spans="1:17" x14ac:dyDescent="0.2">
      <c r="A43" s="4" t="s">
        <v>64</v>
      </c>
      <c r="B43" s="13">
        <v>336705739</v>
      </c>
      <c r="C43" s="13">
        <v>318582374.29000002</v>
      </c>
      <c r="D43" s="13">
        <v>18123364.709999979</v>
      </c>
      <c r="E43" s="13">
        <v>6024801.6299999999</v>
      </c>
      <c r="F43" s="13">
        <v>9271277</v>
      </c>
      <c r="G43" s="14">
        <v>1.95</v>
      </c>
      <c r="H43" s="14">
        <v>0.65</v>
      </c>
      <c r="I43" s="13">
        <v>502066.80249999999</v>
      </c>
      <c r="J43" s="15">
        <v>2</v>
      </c>
      <c r="K43" s="13">
        <v>17119231.104999978</v>
      </c>
      <c r="L43" s="13" t="s">
        <v>42</v>
      </c>
      <c r="M43" s="13" t="s">
        <v>42</v>
      </c>
      <c r="N43" s="179">
        <v>43831</v>
      </c>
      <c r="O43" s="16">
        <v>45292</v>
      </c>
      <c r="P43" s="13">
        <v>622877.88</v>
      </c>
      <c r="Q43" s="222" t="e">
        <v>#VALUE!</v>
      </c>
    </row>
    <row r="44" spans="1:17" x14ac:dyDescent="0.2">
      <c r="A44" s="4" t="s">
        <v>63</v>
      </c>
      <c r="B44" s="13">
        <v>1279000022.5599999</v>
      </c>
      <c r="C44" s="13">
        <v>1222169473.5699999</v>
      </c>
      <c r="D44" s="13">
        <v>56830548.99000001</v>
      </c>
      <c r="E44" s="13">
        <v>25880176.579999998</v>
      </c>
      <c r="F44" s="13">
        <v>30789752</v>
      </c>
      <c r="G44" s="14">
        <v>1.85</v>
      </c>
      <c r="H44" s="14">
        <v>0.84</v>
      </c>
      <c r="I44" s="13">
        <v>2156681.3816666664</v>
      </c>
      <c r="J44" s="15">
        <v>8</v>
      </c>
      <c r="K44" s="13">
        <v>39577097.936666682</v>
      </c>
      <c r="L44" s="13" t="s">
        <v>42</v>
      </c>
      <c r="M44" s="13" t="s">
        <v>42</v>
      </c>
      <c r="N44" s="179">
        <v>43647</v>
      </c>
      <c r="O44" s="16">
        <v>45474</v>
      </c>
      <c r="P44" s="13">
        <v>3768014.33</v>
      </c>
      <c r="Q44" s="222" t="e">
        <v>#VALUE!</v>
      </c>
    </row>
    <row r="45" spans="1:17" x14ac:dyDescent="0.2">
      <c r="A45" s="4" t="s">
        <v>62</v>
      </c>
      <c r="B45" s="13">
        <v>671425386.73000002</v>
      </c>
      <c r="C45" s="13">
        <v>645877551.23000002</v>
      </c>
      <c r="D45" s="13">
        <v>25547835.5</v>
      </c>
      <c r="E45" s="13">
        <v>13029864.42</v>
      </c>
      <c r="F45" s="13">
        <v>14136687</v>
      </c>
      <c r="G45" s="14">
        <v>1.81</v>
      </c>
      <c r="H45" s="14">
        <v>0.92</v>
      </c>
      <c r="I45" s="13">
        <v>1085822.0349999999</v>
      </c>
      <c r="J45" s="15">
        <v>5</v>
      </c>
      <c r="K45" s="13">
        <v>20118725.324999999</v>
      </c>
      <c r="L45" s="13" t="s">
        <v>42</v>
      </c>
      <c r="M45" s="13" t="s">
        <v>42</v>
      </c>
      <c r="N45" s="179">
        <v>43922</v>
      </c>
      <c r="O45" s="16">
        <v>45383</v>
      </c>
      <c r="P45" s="13">
        <v>2826707.33</v>
      </c>
      <c r="Q45" s="222" t="e">
        <v>#VALUE!</v>
      </c>
    </row>
    <row r="46" spans="1:17" x14ac:dyDescent="0.2">
      <c r="A46" s="4" t="s">
        <v>67</v>
      </c>
      <c r="B46" s="13">
        <v>1055772942</v>
      </c>
      <c r="C46" s="13">
        <v>1011891462.02</v>
      </c>
      <c r="D46" s="13">
        <v>43881479.980000019</v>
      </c>
      <c r="E46" s="13">
        <v>28001238.370000001</v>
      </c>
      <c r="F46" s="13">
        <v>27135328</v>
      </c>
      <c r="G46" s="14">
        <v>1.62</v>
      </c>
      <c r="H46" s="14">
        <v>1.03</v>
      </c>
      <c r="I46" s="13">
        <v>2333436.5308333333</v>
      </c>
      <c r="J46" s="15">
        <v>5</v>
      </c>
      <c r="K46" s="13">
        <v>32214297.32583335</v>
      </c>
      <c r="L46" s="13" t="s">
        <v>42</v>
      </c>
      <c r="M46" s="13" t="s">
        <v>42</v>
      </c>
      <c r="N46" s="179">
        <v>43922</v>
      </c>
      <c r="O46" s="16">
        <v>45383</v>
      </c>
      <c r="P46" s="13">
        <v>278557.53000000003</v>
      </c>
      <c r="Q46" s="222" t="e">
        <v>#VALUE!</v>
      </c>
    </row>
    <row r="47" spans="1:17" x14ac:dyDescent="0.2">
      <c r="A47" s="4" t="s">
        <v>66</v>
      </c>
      <c r="B47" s="13">
        <v>1894934846.98</v>
      </c>
      <c r="C47" s="13">
        <v>1823466779.1199999</v>
      </c>
      <c r="D47" s="13">
        <v>71468067.860000134</v>
      </c>
      <c r="E47" s="13">
        <v>44615909.07</v>
      </c>
      <c r="F47" s="13">
        <v>45251402</v>
      </c>
      <c r="G47" s="14">
        <v>1.58</v>
      </c>
      <c r="H47" s="14">
        <v>0.99</v>
      </c>
      <c r="I47" s="13">
        <v>3717992.4224999999</v>
      </c>
      <c r="J47" s="15">
        <v>8</v>
      </c>
      <c r="K47" s="13">
        <v>41724128.480000138</v>
      </c>
      <c r="L47" s="13" t="s">
        <v>42</v>
      </c>
      <c r="M47" s="13" t="s">
        <v>42</v>
      </c>
      <c r="N47" s="179">
        <v>43647</v>
      </c>
      <c r="O47" s="16">
        <v>45474</v>
      </c>
      <c r="P47" s="13">
        <v>5807709.9000000004</v>
      </c>
      <c r="Q47" s="222" t="e">
        <v>#VALUE!</v>
      </c>
    </row>
    <row r="48" spans="1:17" x14ac:dyDescent="0.2">
      <c r="A48" s="4" t="s">
        <v>65</v>
      </c>
      <c r="B48" s="13">
        <v>379033306</v>
      </c>
      <c r="C48" s="13">
        <v>363506631.38</v>
      </c>
      <c r="D48" s="13">
        <v>15526674.620000005</v>
      </c>
      <c r="E48" s="13">
        <v>9388594.2699999996</v>
      </c>
      <c r="F48" s="13">
        <v>9905563</v>
      </c>
      <c r="G48" s="14">
        <v>1.57</v>
      </c>
      <c r="H48" s="14">
        <v>0.95</v>
      </c>
      <c r="I48" s="13">
        <v>782382.85583333333</v>
      </c>
      <c r="J48" s="15">
        <v>8</v>
      </c>
      <c r="K48" s="13">
        <v>9267611.7733333372</v>
      </c>
      <c r="L48" s="13" t="s">
        <v>42</v>
      </c>
      <c r="M48" s="13" t="s">
        <v>42</v>
      </c>
      <c r="N48" s="179">
        <v>43647</v>
      </c>
      <c r="O48" s="16">
        <v>45474</v>
      </c>
      <c r="P48" s="13">
        <v>795816.21</v>
      </c>
      <c r="Q48" s="222" t="e">
        <v>#VALUE!</v>
      </c>
    </row>
    <row r="49" spans="1:17" x14ac:dyDescent="0.2">
      <c r="A49" s="4" t="s">
        <v>68</v>
      </c>
      <c r="B49" s="13">
        <v>485437344</v>
      </c>
      <c r="C49" s="13">
        <v>468515569.01999998</v>
      </c>
      <c r="D49" s="13">
        <v>16921774.980000019</v>
      </c>
      <c r="E49" s="13">
        <v>11214575.890000001</v>
      </c>
      <c r="F49" s="13">
        <v>11760505</v>
      </c>
      <c r="G49" s="14">
        <v>1.44</v>
      </c>
      <c r="H49" s="14">
        <v>0.95</v>
      </c>
      <c r="I49" s="13">
        <v>934547.99083333334</v>
      </c>
      <c r="J49" s="15">
        <v>2</v>
      </c>
      <c r="K49" s="13">
        <v>15052678.998333352</v>
      </c>
      <c r="L49" s="13" t="s">
        <v>42</v>
      </c>
      <c r="M49" s="13" t="s">
        <v>42</v>
      </c>
      <c r="N49" s="179">
        <v>43831</v>
      </c>
      <c r="O49" s="16">
        <v>45292</v>
      </c>
      <c r="P49" s="13">
        <v>514458.39</v>
      </c>
      <c r="Q49" s="222" t="e">
        <v>#VALUE!</v>
      </c>
    </row>
    <row r="50" spans="1:17" x14ac:dyDescent="0.2">
      <c r="A50" s="4" t="s">
        <v>69</v>
      </c>
      <c r="B50" s="13">
        <v>232702025</v>
      </c>
      <c r="C50" s="13">
        <v>226447797.88999999</v>
      </c>
      <c r="D50" s="13">
        <v>6254227.1100000143</v>
      </c>
      <c r="E50" s="13">
        <v>5633398.1200000001</v>
      </c>
      <c r="F50" s="13">
        <v>6807147</v>
      </c>
      <c r="G50" s="14">
        <v>0.92</v>
      </c>
      <c r="H50" s="14">
        <v>0.83</v>
      </c>
      <c r="I50" s="13">
        <v>469449.84333333332</v>
      </c>
      <c r="J50" s="15">
        <v>8</v>
      </c>
      <c r="K50" s="13">
        <v>2498628.3633333477</v>
      </c>
      <c r="L50" s="13" t="s">
        <v>42</v>
      </c>
      <c r="M50" s="13" t="s">
        <v>42</v>
      </c>
      <c r="N50" s="179">
        <v>43647</v>
      </c>
      <c r="O50" s="16">
        <v>45474</v>
      </c>
      <c r="P50" s="13">
        <v>0</v>
      </c>
      <c r="Q50" s="222" t="e">
        <v>#VALUE!</v>
      </c>
    </row>
    <row r="51" spans="1:17" x14ac:dyDescent="0.2">
      <c r="A51" s="4" t="s">
        <v>70</v>
      </c>
      <c r="B51" s="13">
        <v>72717998</v>
      </c>
      <c r="C51" s="13">
        <v>70630699.950000003</v>
      </c>
      <c r="D51" s="13">
        <v>2087298.049999997</v>
      </c>
      <c r="E51" s="13">
        <v>2044596.46</v>
      </c>
      <c r="F51" s="13">
        <v>2684959</v>
      </c>
      <c r="G51" s="14">
        <v>0.78</v>
      </c>
      <c r="H51" s="14">
        <v>0.76</v>
      </c>
      <c r="I51" s="13">
        <v>170383.03833333333</v>
      </c>
      <c r="J51" s="15">
        <v>8</v>
      </c>
      <c r="K51" s="13">
        <v>724233.74333333038</v>
      </c>
      <c r="L51" s="13" t="s">
        <v>42</v>
      </c>
      <c r="M51" s="13" t="s">
        <v>42</v>
      </c>
      <c r="N51" s="179">
        <v>43647</v>
      </c>
      <c r="O51" s="16">
        <v>45474</v>
      </c>
      <c r="P51" s="13">
        <v>22802.39</v>
      </c>
      <c r="Q51" s="222" t="e">
        <v>#VALUE!</v>
      </c>
    </row>
    <row r="52" spans="1:17" x14ac:dyDescent="0.2">
      <c r="A52" s="4" t="s">
        <v>40</v>
      </c>
      <c r="B52" s="13">
        <v>192099724.25999999</v>
      </c>
      <c r="C52" s="13">
        <v>175823579.72</v>
      </c>
      <c r="D52" s="18">
        <v>16276144.539999992</v>
      </c>
      <c r="E52" s="13">
        <v>4597356.5599999996</v>
      </c>
      <c r="F52" s="13">
        <v>0</v>
      </c>
      <c r="G52" s="14">
        <v>0</v>
      </c>
      <c r="H52" s="14">
        <v>0</v>
      </c>
      <c r="I52" s="18">
        <v>383113.04666666663</v>
      </c>
      <c r="J52" s="15">
        <v>8</v>
      </c>
      <c r="K52" s="18">
        <v>13211240.166666659</v>
      </c>
      <c r="L52" s="18">
        <v>2034518.067499999</v>
      </c>
      <c r="M52" s="18">
        <v>2034518.067499999</v>
      </c>
      <c r="N52" s="180">
        <v>43647</v>
      </c>
      <c r="O52" s="16">
        <v>45474</v>
      </c>
      <c r="P52" s="13">
        <v>0</v>
      </c>
      <c r="Q52" s="222" t="e">
        <v>#VALUE!</v>
      </c>
    </row>
    <row r="53" spans="1:17" x14ac:dyDescent="0.25">
      <c r="A53" s="34" t="s">
        <v>71</v>
      </c>
      <c r="B53" s="31">
        <v>42078200286.959999</v>
      </c>
      <c r="C53" s="13">
        <v>39275278342.019997</v>
      </c>
      <c r="D53" s="31">
        <v>2802921944.9400024</v>
      </c>
      <c r="E53" s="13">
        <v>919964089.38</v>
      </c>
      <c r="F53" s="13">
        <v>982497230.95000005</v>
      </c>
      <c r="G53" s="14">
        <v>2.85</v>
      </c>
      <c r="H53" s="14">
        <v>0.94</v>
      </c>
      <c r="I53" s="31">
        <v>76663674.114999995</v>
      </c>
      <c r="J53" s="32"/>
      <c r="K53" s="33"/>
      <c r="L53" s="33"/>
      <c r="M53" s="33"/>
      <c r="N53" s="33"/>
      <c r="O53" s="33"/>
      <c r="P53" s="31">
        <v>87561139.140000001</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27</v>
      </c>
      <c r="H56" s="25"/>
    </row>
    <row r="57" spans="1:17" ht="27" customHeight="1" thickBot="1" x14ac:dyDescent="0.3">
      <c r="D57" s="228" t="s">
        <v>73</v>
      </c>
      <c r="E57" s="229"/>
      <c r="F57" s="229"/>
      <c r="G57" s="27"/>
      <c r="H57" s="28">
        <v>37</v>
      </c>
    </row>
  </sheetData>
  <mergeCells count="2">
    <mergeCell ref="D56:F56"/>
    <mergeCell ref="D57:F57"/>
  </mergeCells>
  <conditionalFormatting sqref="G54">
    <cfRule type="cellIs" dxfId="363" priority="13" stopIfTrue="1" operator="greaterThan">
      <formula>2.5</formula>
    </cfRule>
    <cfRule type="cellIs" dxfId="362" priority="14" stopIfTrue="1" operator="between">
      <formula>2.01</formula>
      <formula>2.5</formula>
    </cfRule>
  </conditionalFormatting>
  <conditionalFormatting sqref="H3:H53">
    <cfRule type="cellIs" dxfId="361" priority="12" stopIfTrue="1" operator="lessThan">
      <formula>1</formula>
    </cfRule>
  </conditionalFormatting>
  <conditionalFormatting sqref="G3:G53">
    <cfRule type="cellIs" dxfId="360" priority="10" stopIfTrue="1" operator="greaterThan">
      <formula>2.5</formula>
    </cfRule>
    <cfRule type="cellIs" dxfId="359" priority="11" stopIfTrue="1" operator="between">
      <formula>2.01</formula>
      <formula>2.5</formula>
    </cfRule>
  </conditionalFormatting>
  <conditionalFormatting sqref="K3:K52">
    <cfRule type="cellIs" dxfId="358" priority="8" stopIfTrue="1" operator="greaterThan">
      <formula>$F3*2.5</formula>
    </cfRule>
    <cfRule type="cellIs" dxfId="357" priority="9" stopIfTrue="1" operator="between">
      <formula>$F3*2</formula>
      <formula>$F3*2.5</formula>
    </cfRule>
  </conditionalFormatting>
  <conditionalFormatting sqref="G54">
    <cfRule type="cellIs" dxfId="356" priority="6" stopIfTrue="1" operator="greaterThan">
      <formula>2.5</formula>
    </cfRule>
    <cfRule type="cellIs" dxfId="355" priority="7" stopIfTrue="1" operator="between">
      <formula>2.01</formula>
      <formula>2.5</formula>
    </cfRule>
  </conditionalFormatting>
  <conditionalFormatting sqref="H3:H53">
    <cfRule type="cellIs" dxfId="354" priority="5" stopIfTrue="1" operator="lessThan">
      <formula>1</formula>
    </cfRule>
  </conditionalFormatting>
  <conditionalFormatting sqref="G3:G53">
    <cfRule type="cellIs" dxfId="353" priority="3" stopIfTrue="1" operator="greaterThan">
      <formula>2.5</formula>
    </cfRule>
    <cfRule type="cellIs" dxfId="352" priority="4" stopIfTrue="1" operator="between">
      <formula>2.01</formula>
      <formula>2.5</formula>
    </cfRule>
  </conditionalFormatting>
  <conditionalFormatting sqref="K3:K52">
    <cfRule type="cellIs" dxfId="351" priority="1" stopIfTrue="1" operator="greaterThan">
      <formula>$F3*2.5</formula>
    </cfRule>
    <cfRule type="cellIs" dxfId="350"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33C8-89B7-4AE0-83B6-CFE59586D8CD}">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453125" style="17" bestFit="1" customWidth="1"/>
    <col min="16" max="16" width="7.7265625" style="23" hidden="1" customWidth="1"/>
    <col min="17" max="17" width="12.81640625" style="17" hidden="1" customWidth="1"/>
    <col min="18" max="16384" width="9.1796875" style="17"/>
  </cols>
  <sheetData>
    <row r="1" spans="1:17" s="8" customFormat="1" ht="18" x14ac:dyDescent="0.25">
      <c r="A1" s="4" t="s">
        <v>82</v>
      </c>
      <c r="B1" s="178" t="s">
        <v>83</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22</v>
      </c>
      <c r="B3" s="13">
        <v>708696383.32000005</v>
      </c>
      <c r="C3" s="13">
        <v>628753509.23000002</v>
      </c>
      <c r="D3" s="13">
        <v>79942874.090000033</v>
      </c>
      <c r="E3" s="13">
        <v>12484070.83</v>
      </c>
      <c r="F3" s="13">
        <v>13833071</v>
      </c>
      <c r="G3" s="14">
        <v>5.78</v>
      </c>
      <c r="H3" s="14">
        <v>0.9</v>
      </c>
      <c r="I3" s="13">
        <v>1040339.2358333333</v>
      </c>
      <c r="J3" s="15">
        <v>7</v>
      </c>
      <c r="K3" s="13">
        <v>72660499.439166695</v>
      </c>
      <c r="L3" s="13">
        <v>7468104.5842857193</v>
      </c>
      <c r="M3" s="13">
        <v>6480028.0842857193</v>
      </c>
      <c r="N3" s="179">
        <v>43647</v>
      </c>
      <c r="O3" s="16">
        <v>45474</v>
      </c>
      <c r="P3" s="13">
        <v>1231311.3899999999</v>
      </c>
      <c r="Q3" s="223" t="e">
        <v>#VALUE!</v>
      </c>
    </row>
    <row r="4" spans="1:17" x14ac:dyDescent="0.2">
      <c r="A4" s="4" t="s">
        <v>21</v>
      </c>
      <c r="B4" s="13">
        <v>1788595890.3599999</v>
      </c>
      <c r="C4" s="13">
        <v>1524082881.8800001</v>
      </c>
      <c r="D4" s="13">
        <v>264513008.47999978</v>
      </c>
      <c r="E4" s="13">
        <v>33178923.23</v>
      </c>
      <c r="F4" s="13">
        <v>46272979</v>
      </c>
      <c r="G4" s="14">
        <v>5.72</v>
      </c>
      <c r="H4" s="14">
        <v>0.72</v>
      </c>
      <c r="I4" s="13">
        <v>2764910.2691666665</v>
      </c>
      <c r="J4" s="15">
        <v>1</v>
      </c>
      <c r="K4" s="13">
        <v>261748098.2108331</v>
      </c>
      <c r="L4" s="13">
        <v>171967050.47999978</v>
      </c>
      <c r="M4" s="13">
        <v>148830560.97999978</v>
      </c>
      <c r="N4" s="179">
        <v>43831</v>
      </c>
      <c r="O4" s="16">
        <v>45292</v>
      </c>
      <c r="P4" s="13">
        <v>4675534.66</v>
      </c>
      <c r="Q4" s="222" t="e">
        <v>#VALUE!</v>
      </c>
    </row>
    <row r="5" spans="1:17" x14ac:dyDescent="0.2">
      <c r="A5" s="4" t="s">
        <v>23</v>
      </c>
      <c r="B5" s="13">
        <v>1336273473.74</v>
      </c>
      <c r="C5" s="13">
        <v>1177683903.05</v>
      </c>
      <c r="D5" s="13">
        <v>158589570.69000006</v>
      </c>
      <c r="E5" s="13">
        <v>14799241.640000001</v>
      </c>
      <c r="F5" s="13">
        <v>29074134</v>
      </c>
      <c r="G5" s="14">
        <v>5.45</v>
      </c>
      <c r="H5" s="14">
        <v>0.51</v>
      </c>
      <c r="I5" s="13">
        <v>1233270.1366666667</v>
      </c>
      <c r="J5" s="15">
        <v>1</v>
      </c>
      <c r="K5" s="13">
        <v>157356300.5533334</v>
      </c>
      <c r="L5" s="13">
        <v>100441302.69000006</v>
      </c>
      <c r="M5" s="13">
        <v>85904235.690000057</v>
      </c>
      <c r="N5" s="179">
        <v>43831</v>
      </c>
      <c r="O5" s="16">
        <v>45292</v>
      </c>
      <c r="P5" s="13">
        <v>2168333.69</v>
      </c>
      <c r="Q5" s="222" t="e">
        <v>#VALUE!</v>
      </c>
    </row>
    <row r="6" spans="1:17" x14ac:dyDescent="0.2">
      <c r="A6" s="4" t="s">
        <v>24</v>
      </c>
      <c r="B6" s="13">
        <v>1469242870.97</v>
      </c>
      <c r="C6" s="13">
        <v>1292498786.97</v>
      </c>
      <c r="D6" s="13">
        <v>176744084</v>
      </c>
      <c r="E6" s="13">
        <v>27511655.109999999</v>
      </c>
      <c r="F6" s="13">
        <v>33073641</v>
      </c>
      <c r="G6" s="14">
        <v>5.34</v>
      </c>
      <c r="H6" s="14">
        <v>0.83</v>
      </c>
      <c r="I6" s="13">
        <v>2292637.9258333333</v>
      </c>
      <c r="J6" s="15">
        <v>7</v>
      </c>
      <c r="K6" s="13">
        <v>160695618.51916668</v>
      </c>
      <c r="L6" s="13">
        <v>15799543.142857144</v>
      </c>
      <c r="M6" s="13">
        <v>13437140.214285715</v>
      </c>
      <c r="N6" s="179">
        <v>43647</v>
      </c>
      <c r="O6" s="16">
        <v>45474</v>
      </c>
      <c r="P6" s="13">
        <v>13456.84</v>
      </c>
      <c r="Q6" s="222" t="e">
        <v>#VALUE!</v>
      </c>
    </row>
    <row r="7" spans="1:17" x14ac:dyDescent="0.2">
      <c r="A7" s="4" t="s">
        <v>19</v>
      </c>
      <c r="B7" s="13">
        <v>1115197398.45</v>
      </c>
      <c r="C7" s="13">
        <v>981174654.38</v>
      </c>
      <c r="D7" s="13">
        <v>134022744.07000005</v>
      </c>
      <c r="E7" s="13">
        <v>11409244.75</v>
      </c>
      <c r="F7" s="13">
        <v>26165562</v>
      </c>
      <c r="G7" s="14">
        <v>5.12</v>
      </c>
      <c r="H7" s="14">
        <v>0.44</v>
      </c>
      <c r="I7" s="13">
        <v>950770.39583333337</v>
      </c>
      <c r="J7" s="15">
        <v>7</v>
      </c>
      <c r="K7" s="13">
        <v>127367351.29916672</v>
      </c>
      <c r="L7" s="13">
        <v>11670231.438571436</v>
      </c>
      <c r="M7" s="13">
        <v>9801262.7242857218</v>
      </c>
      <c r="N7" s="179">
        <v>43647</v>
      </c>
      <c r="O7" s="16">
        <v>45474</v>
      </c>
      <c r="P7" s="13">
        <v>3850321.3</v>
      </c>
      <c r="Q7" s="222" t="e">
        <v>#VALUE!</v>
      </c>
    </row>
    <row r="8" spans="1:17" x14ac:dyDescent="0.2">
      <c r="A8" s="4" t="s">
        <v>25</v>
      </c>
      <c r="B8" s="13">
        <v>265120500</v>
      </c>
      <c r="C8" s="13">
        <v>234275494.08000001</v>
      </c>
      <c r="D8" s="13">
        <v>30845005.919999987</v>
      </c>
      <c r="E8" s="13">
        <v>6128786.46</v>
      </c>
      <c r="F8" s="13">
        <v>6172506</v>
      </c>
      <c r="G8" s="14">
        <v>5</v>
      </c>
      <c r="H8" s="14">
        <v>0.99</v>
      </c>
      <c r="I8" s="13">
        <v>510732.20500000002</v>
      </c>
      <c r="J8" s="15">
        <v>4</v>
      </c>
      <c r="K8" s="13">
        <v>28802077.099999987</v>
      </c>
      <c r="L8" s="13">
        <v>4624998.4799999967</v>
      </c>
      <c r="M8" s="13">
        <v>3853435.2299999967</v>
      </c>
      <c r="N8" s="179">
        <v>43922</v>
      </c>
      <c r="O8" s="16">
        <v>45383</v>
      </c>
      <c r="P8" s="13">
        <v>706655.34</v>
      </c>
      <c r="Q8" s="222" t="e">
        <v>#VALUE!</v>
      </c>
    </row>
    <row r="9" spans="1:17" x14ac:dyDescent="0.2">
      <c r="A9" s="4" t="s">
        <v>40</v>
      </c>
      <c r="B9" s="13">
        <v>203184695.25999999</v>
      </c>
      <c r="C9" s="13">
        <v>175823579.72</v>
      </c>
      <c r="D9" s="13">
        <v>27361115.539999992</v>
      </c>
      <c r="E9" s="13">
        <v>3949500.35</v>
      </c>
      <c r="F9" s="13">
        <v>5655134</v>
      </c>
      <c r="G9" s="14">
        <v>4.84</v>
      </c>
      <c r="H9" s="14">
        <v>0.7</v>
      </c>
      <c r="I9" s="13">
        <v>329125.02916666667</v>
      </c>
      <c r="J9" s="15">
        <v>7</v>
      </c>
      <c r="K9" s="13">
        <v>25057240.335833326</v>
      </c>
      <c r="L9" s="13">
        <v>2292978.2199999988</v>
      </c>
      <c r="M9" s="13">
        <v>1889040.0771428559</v>
      </c>
      <c r="N9" s="179">
        <v>43647</v>
      </c>
      <c r="O9" s="16">
        <v>45474</v>
      </c>
      <c r="P9" s="13">
        <v>0</v>
      </c>
      <c r="Q9" s="222" t="e">
        <v>#VALUE!</v>
      </c>
    </row>
    <row r="10" spans="1:17" x14ac:dyDescent="0.2">
      <c r="A10" s="4" t="s">
        <v>26</v>
      </c>
      <c r="B10" s="13">
        <v>120899760.39</v>
      </c>
      <c r="C10" s="13">
        <v>104165405.42</v>
      </c>
      <c r="D10" s="13">
        <v>16734354.969999999</v>
      </c>
      <c r="E10" s="13">
        <v>1619676.18</v>
      </c>
      <c r="F10" s="13">
        <v>3521015</v>
      </c>
      <c r="G10" s="14">
        <v>4.75</v>
      </c>
      <c r="H10" s="14">
        <v>0.46</v>
      </c>
      <c r="I10" s="13">
        <v>134973.01499999998</v>
      </c>
      <c r="J10" s="15">
        <v>1</v>
      </c>
      <c r="K10" s="13">
        <v>16599381.954999998</v>
      </c>
      <c r="L10" s="13">
        <v>9692324.9699999988</v>
      </c>
      <c r="M10" s="13">
        <v>7931817.4699999988</v>
      </c>
      <c r="N10" s="179">
        <v>43831</v>
      </c>
      <c r="O10" s="16">
        <v>45292</v>
      </c>
      <c r="P10" s="13">
        <v>136272.31</v>
      </c>
      <c r="Q10" s="222" t="e">
        <v>#VALUE!</v>
      </c>
    </row>
    <row r="11" spans="1:17" x14ac:dyDescent="0.2">
      <c r="A11" s="4" t="s">
        <v>27</v>
      </c>
      <c r="B11" s="13">
        <v>853256279</v>
      </c>
      <c r="C11" s="13">
        <v>767319568.36000001</v>
      </c>
      <c r="D11" s="13">
        <v>85936710.639999986</v>
      </c>
      <c r="E11" s="13">
        <v>15828135.4</v>
      </c>
      <c r="F11" s="13">
        <v>18836467</v>
      </c>
      <c r="G11" s="14">
        <v>4.5599999999999996</v>
      </c>
      <c r="H11" s="14">
        <v>0.84</v>
      </c>
      <c r="I11" s="13">
        <v>1319011.2833333334</v>
      </c>
      <c r="J11" s="15">
        <v>0</v>
      </c>
      <c r="K11" s="13">
        <v>85936710.639999986</v>
      </c>
      <c r="L11" s="13" t="s">
        <v>20</v>
      </c>
      <c r="M11" s="13" t="s">
        <v>20</v>
      </c>
      <c r="N11" s="179">
        <v>43739</v>
      </c>
      <c r="O11" s="16">
        <v>45200</v>
      </c>
      <c r="P11" s="13">
        <v>2419131.9300000002</v>
      </c>
      <c r="Q11" s="222" t="e">
        <v>#VALUE!</v>
      </c>
    </row>
    <row r="12" spans="1:17" x14ac:dyDescent="0.2">
      <c r="A12" s="4" t="s">
        <v>31</v>
      </c>
      <c r="B12" s="13">
        <v>493558716</v>
      </c>
      <c r="C12" s="13">
        <v>443175704.55000001</v>
      </c>
      <c r="D12" s="13">
        <v>50383011.449999988</v>
      </c>
      <c r="E12" s="13">
        <v>8356828.4400000004</v>
      </c>
      <c r="F12" s="13">
        <v>11038481</v>
      </c>
      <c r="G12" s="14">
        <v>4.5599999999999996</v>
      </c>
      <c r="H12" s="14">
        <v>0.76</v>
      </c>
      <c r="I12" s="13">
        <v>696402.37</v>
      </c>
      <c r="J12" s="15">
        <v>1</v>
      </c>
      <c r="K12" s="13">
        <v>49686609.079999991</v>
      </c>
      <c r="L12" s="13">
        <v>28306049.449999988</v>
      </c>
      <c r="M12" s="13">
        <v>22786808.949999988</v>
      </c>
      <c r="N12" s="179">
        <v>43831</v>
      </c>
      <c r="O12" s="16">
        <v>45292</v>
      </c>
      <c r="P12" s="13">
        <v>586068.56000000006</v>
      </c>
      <c r="Q12" s="222" t="e">
        <v>#VALUE!</v>
      </c>
    </row>
    <row r="13" spans="1:17" x14ac:dyDescent="0.2">
      <c r="A13" s="4" t="s">
        <v>37</v>
      </c>
      <c r="B13" s="13">
        <v>187480557</v>
      </c>
      <c r="C13" s="13">
        <v>171499183.53</v>
      </c>
      <c r="D13" s="13">
        <v>15981373.469999999</v>
      </c>
      <c r="E13" s="13">
        <v>2392918.58</v>
      </c>
      <c r="F13" s="13">
        <v>3515583</v>
      </c>
      <c r="G13" s="14">
        <v>4.55</v>
      </c>
      <c r="H13" s="14">
        <v>0.68</v>
      </c>
      <c r="I13" s="13">
        <v>199409.88166666668</v>
      </c>
      <c r="J13" s="15">
        <v>7</v>
      </c>
      <c r="K13" s="13">
        <v>14585504.298333332</v>
      </c>
      <c r="L13" s="13">
        <v>1278601.067142857</v>
      </c>
      <c r="M13" s="13">
        <v>1027487.9957142855</v>
      </c>
      <c r="N13" s="179">
        <v>43647</v>
      </c>
      <c r="O13" s="16">
        <v>45474</v>
      </c>
      <c r="P13" s="13">
        <v>18908.990000000002</v>
      </c>
      <c r="Q13" s="222" t="e">
        <v>#VALUE!</v>
      </c>
    </row>
    <row r="14" spans="1:17" x14ac:dyDescent="0.2">
      <c r="A14" s="4" t="s">
        <v>30</v>
      </c>
      <c r="B14" s="13">
        <v>1022430792.45</v>
      </c>
      <c r="C14" s="13">
        <v>937220098.86000001</v>
      </c>
      <c r="D14" s="13">
        <v>85210693.590000033</v>
      </c>
      <c r="E14" s="13">
        <v>25397118.829999998</v>
      </c>
      <c r="F14" s="13">
        <v>19809810</v>
      </c>
      <c r="G14" s="14">
        <v>4.3</v>
      </c>
      <c r="H14" s="14">
        <v>1.28</v>
      </c>
      <c r="I14" s="13">
        <v>2116426.5691666664</v>
      </c>
      <c r="J14" s="15">
        <v>4</v>
      </c>
      <c r="K14" s="13">
        <v>76744987.313333362</v>
      </c>
      <c r="L14" s="13">
        <v>11397768.397500008</v>
      </c>
      <c r="M14" s="13">
        <v>8921542.1475000083</v>
      </c>
      <c r="N14" s="179">
        <v>43922</v>
      </c>
      <c r="O14" s="16">
        <v>45383</v>
      </c>
      <c r="P14" s="13">
        <v>3961347</v>
      </c>
      <c r="Q14" s="222" t="e">
        <v>#VALUE!</v>
      </c>
    </row>
    <row r="15" spans="1:17" x14ac:dyDescent="0.2">
      <c r="A15" s="4" t="s">
        <v>39</v>
      </c>
      <c r="B15" s="13">
        <v>500565228.91000003</v>
      </c>
      <c r="C15" s="13">
        <v>459008289.66000003</v>
      </c>
      <c r="D15" s="13">
        <v>41556939.25</v>
      </c>
      <c r="E15" s="13">
        <v>10428671.24</v>
      </c>
      <c r="F15" s="13">
        <v>10539100</v>
      </c>
      <c r="G15" s="14">
        <v>3.94</v>
      </c>
      <c r="H15" s="14">
        <v>0.99</v>
      </c>
      <c r="I15" s="13">
        <v>869055.93666666665</v>
      </c>
      <c r="J15" s="15">
        <v>7</v>
      </c>
      <c r="K15" s="13">
        <v>35473547.693333335</v>
      </c>
      <c r="L15" s="13">
        <v>2925534.1785714286</v>
      </c>
      <c r="M15" s="13">
        <v>2172741.3214285714</v>
      </c>
      <c r="N15" s="179">
        <v>43647</v>
      </c>
      <c r="O15" s="16">
        <v>45474</v>
      </c>
      <c r="P15" s="13">
        <v>844824.48</v>
      </c>
      <c r="Q15" s="222" t="e">
        <v>#VALUE!</v>
      </c>
    </row>
    <row r="16" spans="1:17" x14ac:dyDescent="0.2">
      <c r="A16" s="4" t="s">
        <v>47</v>
      </c>
      <c r="B16" s="13">
        <v>104394118</v>
      </c>
      <c r="C16" s="13">
        <v>94466109.590000004</v>
      </c>
      <c r="D16" s="13">
        <v>9928008.4099999964</v>
      </c>
      <c r="E16" s="13">
        <v>2347883.02</v>
      </c>
      <c r="F16" s="13">
        <v>2677355</v>
      </c>
      <c r="G16" s="14">
        <v>3.71</v>
      </c>
      <c r="H16" s="14">
        <v>0.88</v>
      </c>
      <c r="I16" s="13">
        <v>195656.91833333333</v>
      </c>
      <c r="J16" s="15">
        <v>7</v>
      </c>
      <c r="K16" s="13">
        <v>8558409.9816666637</v>
      </c>
      <c r="L16" s="13">
        <v>653328.34428571374</v>
      </c>
      <c r="M16" s="13">
        <v>462088.7014285709</v>
      </c>
      <c r="N16" s="179">
        <v>43647</v>
      </c>
      <c r="O16" s="16">
        <v>45474</v>
      </c>
      <c r="P16" s="13">
        <v>0</v>
      </c>
      <c r="Q16" s="222" t="e">
        <v>#VALUE!</v>
      </c>
    </row>
    <row r="17" spans="1:17" x14ac:dyDescent="0.2">
      <c r="A17" s="4" t="s">
        <v>38</v>
      </c>
      <c r="B17" s="13">
        <v>528328839.02999997</v>
      </c>
      <c r="C17" s="13">
        <v>478052921.14999998</v>
      </c>
      <c r="D17" s="13">
        <v>50275917.879999995</v>
      </c>
      <c r="E17" s="13">
        <v>13415555.710000001</v>
      </c>
      <c r="F17" s="13">
        <v>13880022</v>
      </c>
      <c r="G17" s="14">
        <v>3.62</v>
      </c>
      <c r="H17" s="14">
        <v>0.97</v>
      </c>
      <c r="I17" s="13">
        <v>1117962.9758333333</v>
      </c>
      <c r="J17" s="15">
        <v>7</v>
      </c>
      <c r="K17" s="13">
        <v>42450177.049166664</v>
      </c>
      <c r="L17" s="13">
        <v>3216553.4114285707</v>
      </c>
      <c r="M17" s="13">
        <v>2225123.268571428</v>
      </c>
      <c r="N17" s="179">
        <v>43647</v>
      </c>
      <c r="O17" s="16">
        <v>45474</v>
      </c>
      <c r="P17" s="13">
        <v>0</v>
      </c>
      <c r="Q17" s="222" t="e">
        <v>#VALUE!</v>
      </c>
    </row>
    <row r="18" spans="1:17" x14ac:dyDescent="0.2">
      <c r="A18" s="4" t="s">
        <v>28</v>
      </c>
      <c r="B18" s="13">
        <v>1922975437</v>
      </c>
      <c r="C18" s="13">
        <v>1846739465.9100001</v>
      </c>
      <c r="D18" s="13">
        <v>76235971.089999914</v>
      </c>
      <c r="E18" s="13">
        <v>22621037.140000001</v>
      </c>
      <c r="F18" s="13">
        <v>22385506</v>
      </c>
      <c r="G18" s="14">
        <v>3.41</v>
      </c>
      <c r="H18" s="14">
        <v>1.01</v>
      </c>
      <c r="I18" s="13">
        <v>1885086.4283333335</v>
      </c>
      <c r="J18" s="15">
        <v>7</v>
      </c>
      <c r="K18" s="13">
        <v>63040366.091666579</v>
      </c>
      <c r="L18" s="13">
        <v>4494994.1557142735</v>
      </c>
      <c r="M18" s="13">
        <v>2896029.4414285594</v>
      </c>
      <c r="N18" s="179">
        <v>43647</v>
      </c>
      <c r="O18" s="16">
        <v>45474</v>
      </c>
      <c r="P18" s="13">
        <v>2817337.03</v>
      </c>
      <c r="Q18" s="222" t="e">
        <v>#VALUE!</v>
      </c>
    </row>
    <row r="19" spans="1:17" x14ac:dyDescent="0.2">
      <c r="A19" s="4" t="s">
        <v>29</v>
      </c>
      <c r="B19" s="13">
        <v>782983569.92999995</v>
      </c>
      <c r="C19" s="13">
        <v>722790854.40999997</v>
      </c>
      <c r="D19" s="13">
        <v>60192715.519999981</v>
      </c>
      <c r="E19" s="13">
        <v>15977182.369999999</v>
      </c>
      <c r="F19" s="13">
        <v>17807834</v>
      </c>
      <c r="G19" s="14">
        <v>3.38</v>
      </c>
      <c r="H19" s="14">
        <v>0.9</v>
      </c>
      <c r="I19" s="13">
        <v>1331431.8641666665</v>
      </c>
      <c r="J19" s="15">
        <v>7</v>
      </c>
      <c r="K19" s="13">
        <v>50872692.470833316</v>
      </c>
      <c r="L19" s="13">
        <v>3511006.7885714257</v>
      </c>
      <c r="M19" s="13">
        <v>2239018.645714283</v>
      </c>
      <c r="N19" s="179">
        <v>43647</v>
      </c>
      <c r="O19" s="16">
        <v>45474</v>
      </c>
      <c r="P19" s="13">
        <v>2560213.9300000002</v>
      </c>
      <c r="Q19" s="222" t="e">
        <v>#VALUE!</v>
      </c>
    </row>
    <row r="20" spans="1:17" x14ac:dyDescent="0.2">
      <c r="A20" s="4" t="s">
        <v>32</v>
      </c>
      <c r="B20" s="13">
        <v>1141786689.4400001</v>
      </c>
      <c r="C20" s="13">
        <v>1054402232.26</v>
      </c>
      <c r="D20" s="13">
        <v>87384457.180000067</v>
      </c>
      <c r="E20" s="13">
        <v>20979795.32</v>
      </c>
      <c r="F20" s="13">
        <v>26492151</v>
      </c>
      <c r="G20" s="14">
        <v>3.3</v>
      </c>
      <c r="H20" s="14">
        <v>0.79</v>
      </c>
      <c r="I20" s="13">
        <v>1748316.2766666666</v>
      </c>
      <c r="J20" s="15">
        <v>7</v>
      </c>
      <c r="K20" s="13">
        <v>75146243.243333399</v>
      </c>
      <c r="L20" s="13">
        <v>4914307.8828571523</v>
      </c>
      <c r="M20" s="13">
        <v>3022011.3828571523</v>
      </c>
      <c r="N20" s="179">
        <v>43647</v>
      </c>
      <c r="O20" s="16">
        <v>45474</v>
      </c>
      <c r="P20" s="13">
        <v>1059929.4099999999</v>
      </c>
      <c r="Q20" s="222" t="e">
        <v>#VALUE!</v>
      </c>
    </row>
    <row r="21" spans="1:17" x14ac:dyDescent="0.2">
      <c r="A21" s="4" t="s">
        <v>34</v>
      </c>
      <c r="B21" s="13">
        <v>1408362784.9100001</v>
      </c>
      <c r="C21" s="13">
        <v>1306785373.5899999</v>
      </c>
      <c r="D21" s="13">
        <v>101577411.32000017</v>
      </c>
      <c r="E21" s="13">
        <v>22527005.170000002</v>
      </c>
      <c r="F21" s="13">
        <v>31050303</v>
      </c>
      <c r="G21" s="14">
        <v>3.27</v>
      </c>
      <c r="H21" s="14">
        <v>0.73</v>
      </c>
      <c r="I21" s="13">
        <v>1877250.4308333334</v>
      </c>
      <c r="J21" s="15">
        <v>7</v>
      </c>
      <c r="K21" s="13">
        <v>88436658.304166839</v>
      </c>
      <c r="L21" s="13">
        <v>5639543.6171428813</v>
      </c>
      <c r="M21" s="13">
        <v>3421664.8314285958</v>
      </c>
      <c r="N21" s="179">
        <v>43647</v>
      </c>
      <c r="O21" s="16">
        <v>45474</v>
      </c>
      <c r="P21" s="13">
        <v>1447501.13</v>
      </c>
      <c r="Q21" s="222" t="e">
        <v>#VALUE!</v>
      </c>
    </row>
    <row r="22" spans="1:17" x14ac:dyDescent="0.2">
      <c r="A22" s="4" t="s">
        <v>35</v>
      </c>
      <c r="B22" s="13">
        <v>775111638</v>
      </c>
      <c r="C22" s="13">
        <v>714136627.94000006</v>
      </c>
      <c r="D22" s="13">
        <v>60975010.059999943</v>
      </c>
      <c r="E22" s="13">
        <v>13459864.810000001</v>
      </c>
      <c r="F22" s="13">
        <v>18806749</v>
      </c>
      <c r="G22" s="14">
        <v>3.24</v>
      </c>
      <c r="H22" s="14">
        <v>0.72</v>
      </c>
      <c r="I22" s="13">
        <v>1121655.4008333334</v>
      </c>
      <c r="J22" s="15">
        <v>7</v>
      </c>
      <c r="K22" s="13">
        <v>53123422.254166611</v>
      </c>
      <c r="L22" s="13">
        <v>3337358.8657142776</v>
      </c>
      <c r="M22" s="13">
        <v>1994019.6514285633</v>
      </c>
      <c r="N22" s="179">
        <v>43647</v>
      </c>
      <c r="O22" s="16">
        <v>45474</v>
      </c>
      <c r="P22" s="13">
        <v>823577.25</v>
      </c>
      <c r="Q22" s="222" t="e">
        <v>#VALUE!</v>
      </c>
    </row>
    <row r="23" spans="1:17" x14ac:dyDescent="0.2">
      <c r="A23" s="4" t="s">
        <v>36</v>
      </c>
      <c r="B23" s="13">
        <v>383328400.93000001</v>
      </c>
      <c r="C23" s="13">
        <v>353159666.17000002</v>
      </c>
      <c r="D23" s="13">
        <v>30168734.75999999</v>
      </c>
      <c r="E23" s="13">
        <v>7480405.8700000001</v>
      </c>
      <c r="F23" s="13">
        <v>9345978</v>
      </c>
      <c r="G23" s="14">
        <v>3.23</v>
      </c>
      <c r="H23" s="14">
        <v>0.8</v>
      </c>
      <c r="I23" s="13">
        <v>623367.15583333338</v>
      </c>
      <c r="J23" s="15">
        <v>4</v>
      </c>
      <c r="K23" s="13">
        <v>27675266.136666656</v>
      </c>
      <c r="L23" s="13">
        <v>2869194.6899999976</v>
      </c>
      <c r="M23" s="13">
        <v>1700947.4399999976</v>
      </c>
      <c r="N23" s="179">
        <v>43556</v>
      </c>
      <c r="O23" s="16">
        <v>45383</v>
      </c>
      <c r="P23" s="13">
        <v>47027.25</v>
      </c>
      <c r="Q23" s="222" t="e">
        <v>#VALUE!</v>
      </c>
    </row>
    <row r="24" spans="1:17" x14ac:dyDescent="0.2">
      <c r="A24" s="4" t="s">
        <v>56</v>
      </c>
      <c r="B24" s="13">
        <v>1154905413</v>
      </c>
      <c r="C24" s="13">
        <v>1066096480.04</v>
      </c>
      <c r="D24" s="13">
        <v>88808932.960000038</v>
      </c>
      <c r="E24" s="13">
        <v>25259401.670000002</v>
      </c>
      <c r="F24" s="13">
        <v>27571438</v>
      </c>
      <c r="G24" s="14">
        <v>3.22</v>
      </c>
      <c r="H24" s="14">
        <v>0.92</v>
      </c>
      <c r="I24" s="13">
        <v>2104950.1391666667</v>
      </c>
      <c r="J24" s="15">
        <v>7</v>
      </c>
      <c r="K24" s="13">
        <v>74074281.985833377</v>
      </c>
      <c r="L24" s="13">
        <v>4809436.708571434</v>
      </c>
      <c r="M24" s="13">
        <v>2840048.2800000054</v>
      </c>
      <c r="N24" s="179">
        <v>43647</v>
      </c>
      <c r="O24" s="16">
        <v>45474</v>
      </c>
      <c r="P24" s="13">
        <v>1340443.99</v>
      </c>
      <c r="Q24" s="222" t="e">
        <v>#VALUE!</v>
      </c>
    </row>
    <row r="25" spans="1:17" x14ac:dyDescent="0.2">
      <c r="A25" s="4" t="s">
        <v>44</v>
      </c>
      <c r="B25" s="13">
        <v>293820746.33999997</v>
      </c>
      <c r="C25" s="13">
        <v>272141007.26999998</v>
      </c>
      <c r="D25" s="13">
        <v>21679739.069999993</v>
      </c>
      <c r="E25" s="13">
        <v>7645510.3499999996</v>
      </c>
      <c r="F25" s="13">
        <v>6746804</v>
      </c>
      <c r="G25" s="14">
        <v>3.21</v>
      </c>
      <c r="H25" s="14">
        <v>1.1299999999999999</v>
      </c>
      <c r="I25" s="13">
        <v>637125.86249999993</v>
      </c>
      <c r="J25" s="15">
        <v>7</v>
      </c>
      <c r="K25" s="13">
        <v>17219858.032499991</v>
      </c>
      <c r="L25" s="13">
        <v>1169447.2957142848</v>
      </c>
      <c r="M25" s="13">
        <v>687532.72428571328</v>
      </c>
      <c r="N25" s="179">
        <v>43647</v>
      </c>
      <c r="O25" s="16">
        <v>45474</v>
      </c>
      <c r="P25" s="13">
        <v>136673.75</v>
      </c>
      <c r="Q25" s="222" t="e">
        <v>#VALUE!</v>
      </c>
    </row>
    <row r="26" spans="1:17" x14ac:dyDescent="0.2">
      <c r="A26" s="4" t="s">
        <v>53</v>
      </c>
      <c r="B26" s="13">
        <v>2879313105.54</v>
      </c>
      <c r="C26" s="13">
        <v>2659719935.9200001</v>
      </c>
      <c r="D26" s="13">
        <v>219593169.61999989</v>
      </c>
      <c r="E26" s="13">
        <v>74357251.75</v>
      </c>
      <c r="F26" s="13">
        <v>70613641</v>
      </c>
      <c r="G26" s="14">
        <v>3.11</v>
      </c>
      <c r="H26" s="14">
        <v>1.05</v>
      </c>
      <c r="I26" s="13">
        <v>6196437.645833333</v>
      </c>
      <c r="J26" s="15">
        <v>9</v>
      </c>
      <c r="K26" s="13">
        <v>163825230.80749989</v>
      </c>
      <c r="L26" s="13">
        <v>8707320.8466666546</v>
      </c>
      <c r="M26" s="13" t="s">
        <v>42</v>
      </c>
      <c r="N26" s="179">
        <v>44075</v>
      </c>
      <c r="O26" s="16">
        <v>45536</v>
      </c>
      <c r="P26" s="13">
        <v>5331111.2699999996</v>
      </c>
      <c r="Q26" s="222" t="e">
        <v>#VALUE!</v>
      </c>
    </row>
    <row r="27" spans="1:17" x14ac:dyDescent="0.2">
      <c r="A27" s="4" t="s">
        <v>52</v>
      </c>
      <c r="B27" s="13">
        <v>522049097</v>
      </c>
      <c r="C27" s="13">
        <v>482060637.25</v>
      </c>
      <c r="D27" s="13">
        <v>39988459.75</v>
      </c>
      <c r="E27" s="13">
        <v>14538292.57</v>
      </c>
      <c r="F27" s="13">
        <v>13105608</v>
      </c>
      <c r="G27" s="14">
        <v>3.05</v>
      </c>
      <c r="H27" s="14">
        <v>1.1100000000000001</v>
      </c>
      <c r="I27" s="13">
        <v>1211524.3808333334</v>
      </c>
      <c r="J27" s="15">
        <v>7</v>
      </c>
      <c r="K27" s="13">
        <v>31507789.084166668</v>
      </c>
      <c r="L27" s="13">
        <v>1968177.6785714286</v>
      </c>
      <c r="M27" s="13" t="s">
        <v>42</v>
      </c>
      <c r="N27" s="179">
        <v>43647</v>
      </c>
      <c r="O27" s="16">
        <v>45474</v>
      </c>
      <c r="P27" s="13">
        <v>1008162.07</v>
      </c>
      <c r="Q27" s="222" t="e">
        <v>#VALUE!</v>
      </c>
    </row>
    <row r="28" spans="1:17" x14ac:dyDescent="0.2">
      <c r="A28" s="4" t="s">
        <v>48</v>
      </c>
      <c r="B28" s="13">
        <v>545409679.30999994</v>
      </c>
      <c r="C28" s="13">
        <v>510005880.31</v>
      </c>
      <c r="D28" s="13">
        <v>35403798.99999994</v>
      </c>
      <c r="E28" s="13">
        <v>17092623</v>
      </c>
      <c r="F28" s="13">
        <v>11656242</v>
      </c>
      <c r="G28" s="14">
        <v>3.04</v>
      </c>
      <c r="H28" s="14">
        <v>1.47</v>
      </c>
      <c r="I28" s="13">
        <v>1424385.25</v>
      </c>
      <c r="J28" s="15">
        <v>1</v>
      </c>
      <c r="K28" s="13">
        <v>33979413.74999994</v>
      </c>
      <c r="L28" s="13">
        <v>12091314.99999994</v>
      </c>
      <c r="M28" s="13">
        <v>6263193.9999999404</v>
      </c>
      <c r="N28" s="179">
        <v>43831</v>
      </c>
      <c r="O28" s="16">
        <v>45292</v>
      </c>
      <c r="P28" s="13">
        <v>1482961</v>
      </c>
      <c r="Q28" s="222" t="e">
        <v>#VALUE!</v>
      </c>
    </row>
    <row r="29" spans="1:17" x14ac:dyDescent="0.2">
      <c r="A29" s="4" t="s">
        <v>54</v>
      </c>
      <c r="B29" s="13">
        <v>1394382977.99</v>
      </c>
      <c r="C29" s="13">
        <v>1288571083.78</v>
      </c>
      <c r="D29" s="13">
        <v>105811894.21000004</v>
      </c>
      <c r="E29" s="13">
        <v>29710958.829999998</v>
      </c>
      <c r="F29" s="13">
        <v>34869850</v>
      </c>
      <c r="G29" s="14">
        <v>3.03</v>
      </c>
      <c r="H29" s="14">
        <v>0.85</v>
      </c>
      <c r="I29" s="13">
        <v>2475913.2358333333</v>
      </c>
      <c r="J29" s="15">
        <v>4</v>
      </c>
      <c r="K29" s="13">
        <v>95908241.26666671</v>
      </c>
      <c r="L29" s="13">
        <v>9018048.5525000095</v>
      </c>
      <c r="M29" s="13">
        <v>4659317.3025000095</v>
      </c>
      <c r="N29" s="179">
        <v>43922</v>
      </c>
      <c r="O29" s="16">
        <v>45383</v>
      </c>
      <c r="P29" s="13">
        <v>1348955.13</v>
      </c>
      <c r="Q29" s="222" t="e">
        <v>#VALUE!</v>
      </c>
    </row>
    <row r="30" spans="1:17" x14ac:dyDescent="0.2">
      <c r="A30" s="4" t="s">
        <v>33</v>
      </c>
      <c r="B30" s="13">
        <v>987264872</v>
      </c>
      <c r="C30" s="13">
        <v>918751677.50999999</v>
      </c>
      <c r="D30" s="13">
        <v>68513194.49000001</v>
      </c>
      <c r="E30" s="13">
        <v>32899484.239999998</v>
      </c>
      <c r="F30" s="13">
        <v>23383549</v>
      </c>
      <c r="G30" s="14">
        <v>2.93</v>
      </c>
      <c r="H30" s="14">
        <v>1.41</v>
      </c>
      <c r="I30" s="13">
        <v>2741623.6866666665</v>
      </c>
      <c r="J30" s="15">
        <v>4</v>
      </c>
      <c r="K30" s="13">
        <v>57546699.74333334</v>
      </c>
      <c r="L30" s="13">
        <v>5436524.1225000024</v>
      </c>
      <c r="M30" s="13" t="s">
        <v>42</v>
      </c>
      <c r="N30" s="179">
        <v>43922</v>
      </c>
      <c r="O30" s="16">
        <v>45383</v>
      </c>
      <c r="P30" s="13">
        <v>2155033.5099999998</v>
      </c>
      <c r="Q30" s="222" t="e">
        <v>#VALUE!</v>
      </c>
    </row>
    <row r="31" spans="1:17" x14ac:dyDescent="0.2">
      <c r="A31" s="4" t="s">
        <v>60</v>
      </c>
      <c r="B31" s="13">
        <v>342887810.45999998</v>
      </c>
      <c r="C31" s="13">
        <v>319045462.68000001</v>
      </c>
      <c r="D31" s="13">
        <v>23842347.779999971</v>
      </c>
      <c r="E31" s="13">
        <v>8780124.9600000009</v>
      </c>
      <c r="F31" s="13">
        <v>8236180</v>
      </c>
      <c r="G31" s="14">
        <v>2.89</v>
      </c>
      <c r="H31" s="14">
        <v>1.07</v>
      </c>
      <c r="I31" s="13">
        <v>731677.08000000007</v>
      </c>
      <c r="J31" s="15">
        <v>4</v>
      </c>
      <c r="K31" s="13">
        <v>20915639.459999971</v>
      </c>
      <c r="L31" s="13">
        <v>1842496.9449999928</v>
      </c>
      <c r="M31" s="13">
        <v>812974.44499999285</v>
      </c>
      <c r="N31" s="179">
        <v>43556</v>
      </c>
      <c r="O31" s="16">
        <v>45383</v>
      </c>
      <c r="P31" s="13">
        <v>843728.94</v>
      </c>
      <c r="Q31" s="222" t="e">
        <v>#VALUE!</v>
      </c>
    </row>
    <row r="32" spans="1:17" x14ac:dyDescent="0.2">
      <c r="A32" s="4" t="s">
        <v>64</v>
      </c>
      <c r="B32" s="13">
        <v>346058940</v>
      </c>
      <c r="C32" s="13">
        <v>319084391.12</v>
      </c>
      <c r="D32" s="13">
        <v>26974548.879999995</v>
      </c>
      <c r="E32" s="13">
        <v>6147972.8600000003</v>
      </c>
      <c r="F32" s="13">
        <v>9353201</v>
      </c>
      <c r="G32" s="14">
        <v>2.88</v>
      </c>
      <c r="H32" s="14">
        <v>0.66</v>
      </c>
      <c r="I32" s="13">
        <v>512331.07166666671</v>
      </c>
      <c r="J32" s="15">
        <v>1</v>
      </c>
      <c r="K32" s="13">
        <v>26462217.80833333</v>
      </c>
      <c r="L32" s="13">
        <v>8268146.8799999952</v>
      </c>
      <c r="M32" s="13">
        <v>3591546.3799999952</v>
      </c>
      <c r="N32" s="179">
        <v>43831</v>
      </c>
      <c r="O32" s="16">
        <v>45292</v>
      </c>
      <c r="P32" s="13">
        <v>502016.83</v>
      </c>
      <c r="Q32" s="222" t="e">
        <v>#VALUE!</v>
      </c>
    </row>
    <row r="33" spans="1:17" x14ac:dyDescent="0.2">
      <c r="A33" s="4" t="s">
        <v>43</v>
      </c>
      <c r="B33" s="13">
        <v>248558577</v>
      </c>
      <c r="C33" s="13">
        <v>232365006.27000001</v>
      </c>
      <c r="D33" s="13">
        <v>16193570.729999989</v>
      </c>
      <c r="E33" s="13">
        <v>6077557.4299999997</v>
      </c>
      <c r="F33" s="13">
        <v>5790145</v>
      </c>
      <c r="G33" s="14">
        <v>2.8</v>
      </c>
      <c r="H33" s="14">
        <v>1.05</v>
      </c>
      <c r="I33" s="13">
        <v>506463.11916666664</v>
      </c>
      <c r="J33" s="15">
        <v>1</v>
      </c>
      <c r="K33" s="13">
        <v>15687107.610833323</v>
      </c>
      <c r="L33" s="13">
        <v>4613280.7299999893</v>
      </c>
      <c r="M33" s="13">
        <v>1718208.2299999893</v>
      </c>
      <c r="N33" s="179">
        <v>43831</v>
      </c>
      <c r="O33" s="16">
        <v>45292</v>
      </c>
      <c r="P33" s="13">
        <v>315290.81</v>
      </c>
      <c r="Q33" s="222" t="e">
        <v>#VALUE!</v>
      </c>
    </row>
    <row r="34" spans="1:17" x14ac:dyDescent="0.2">
      <c r="A34" s="4" t="s">
        <v>62</v>
      </c>
      <c r="B34" s="13">
        <v>685388676.61000001</v>
      </c>
      <c r="C34" s="13">
        <v>647049533.32000005</v>
      </c>
      <c r="D34" s="13">
        <v>38339143.289999962</v>
      </c>
      <c r="E34" s="13">
        <v>12917658.43</v>
      </c>
      <c r="F34" s="13">
        <v>13963452</v>
      </c>
      <c r="G34" s="14">
        <v>2.75</v>
      </c>
      <c r="H34" s="14">
        <v>0.93</v>
      </c>
      <c r="I34" s="13">
        <v>1076471.5358333334</v>
      </c>
      <c r="J34" s="15">
        <v>4</v>
      </c>
      <c r="K34" s="13">
        <v>34033257.146666631</v>
      </c>
      <c r="L34" s="13">
        <v>2603059.8224999905</v>
      </c>
      <c r="M34" s="13" t="s">
        <v>42</v>
      </c>
      <c r="N34" s="179">
        <v>43922</v>
      </c>
      <c r="O34" s="16">
        <v>45383</v>
      </c>
      <c r="P34" s="13">
        <v>1171982.0900000001</v>
      </c>
      <c r="Q34" s="222" t="e">
        <v>#VALUE!</v>
      </c>
    </row>
    <row r="35" spans="1:17" x14ac:dyDescent="0.2">
      <c r="A35" s="4" t="s">
        <v>63</v>
      </c>
      <c r="B35" s="13">
        <v>1309738768.5599999</v>
      </c>
      <c r="C35" s="13">
        <v>1225842456.8099999</v>
      </c>
      <c r="D35" s="13">
        <v>83896311.75</v>
      </c>
      <c r="E35" s="13">
        <v>26870229.809999999</v>
      </c>
      <c r="F35" s="13">
        <v>30738746</v>
      </c>
      <c r="G35" s="14">
        <v>2.73</v>
      </c>
      <c r="H35" s="14">
        <v>0.87</v>
      </c>
      <c r="I35" s="13">
        <v>2239185.8174999999</v>
      </c>
      <c r="J35" s="15">
        <v>7</v>
      </c>
      <c r="K35" s="13">
        <v>68222011.027500004</v>
      </c>
      <c r="L35" s="13">
        <v>3202688.5357142859</v>
      </c>
      <c r="M35" s="13" t="s">
        <v>42</v>
      </c>
      <c r="N35" s="179">
        <v>43647</v>
      </c>
      <c r="O35" s="16">
        <v>45474</v>
      </c>
      <c r="P35" s="13">
        <v>3672983.24</v>
      </c>
      <c r="Q35" s="222" t="e">
        <v>#VALUE!</v>
      </c>
    </row>
    <row r="36" spans="1:17" x14ac:dyDescent="0.2">
      <c r="A36" s="4" t="s">
        <v>45</v>
      </c>
      <c r="B36" s="13">
        <v>1960284894.29</v>
      </c>
      <c r="C36" s="13">
        <v>1853031982.29</v>
      </c>
      <c r="D36" s="13">
        <v>107252912</v>
      </c>
      <c r="E36" s="13">
        <v>39141049.479999997</v>
      </c>
      <c r="F36" s="13">
        <v>41120349</v>
      </c>
      <c r="G36" s="14">
        <v>2.61</v>
      </c>
      <c r="H36" s="14">
        <v>0.95</v>
      </c>
      <c r="I36" s="13">
        <v>3261754.1233333331</v>
      </c>
      <c r="J36" s="15">
        <v>1</v>
      </c>
      <c r="K36" s="13">
        <v>103991157.87666667</v>
      </c>
      <c r="L36" s="13">
        <v>25012214</v>
      </c>
      <c r="M36" s="13">
        <v>4452039.5</v>
      </c>
      <c r="N36" s="179">
        <v>43831</v>
      </c>
      <c r="O36" s="16">
        <v>45292</v>
      </c>
      <c r="P36" s="13">
        <v>3823581.9</v>
      </c>
      <c r="Q36" s="222" t="e">
        <v>#VALUE!</v>
      </c>
    </row>
    <row r="37" spans="1:17" x14ac:dyDescent="0.2">
      <c r="A37" s="4" t="s">
        <v>46</v>
      </c>
      <c r="B37" s="13">
        <v>306076596.48000002</v>
      </c>
      <c r="C37" s="13">
        <v>285182518.93000001</v>
      </c>
      <c r="D37" s="13">
        <v>20894077.550000012</v>
      </c>
      <c r="E37" s="13">
        <v>7972946.9500000002</v>
      </c>
      <c r="F37" s="13">
        <v>8165077</v>
      </c>
      <c r="G37" s="14">
        <v>2.56</v>
      </c>
      <c r="H37" s="14">
        <v>0.98</v>
      </c>
      <c r="I37" s="13">
        <v>664412.24583333335</v>
      </c>
      <c r="J37" s="15">
        <v>7</v>
      </c>
      <c r="K37" s="13">
        <v>16243191.829166679</v>
      </c>
      <c r="L37" s="13" t="s">
        <v>42</v>
      </c>
      <c r="M37" s="13" t="s">
        <v>42</v>
      </c>
      <c r="N37" s="179">
        <v>43647</v>
      </c>
      <c r="O37" s="16">
        <v>45474</v>
      </c>
      <c r="P37" s="13">
        <v>1232673.1399999999</v>
      </c>
      <c r="Q37" s="222" t="e">
        <v>#VALUE!</v>
      </c>
    </row>
    <row r="38" spans="1:17" x14ac:dyDescent="0.2">
      <c r="A38" s="4" t="s">
        <v>41</v>
      </c>
      <c r="B38" s="13">
        <v>1181321553.53</v>
      </c>
      <c r="C38" s="13">
        <v>1061270523.22</v>
      </c>
      <c r="D38" s="13">
        <v>120051030.30999994</v>
      </c>
      <c r="E38" s="13">
        <v>62845542.75</v>
      </c>
      <c r="F38" s="13">
        <v>47769843</v>
      </c>
      <c r="G38" s="14">
        <v>2.5099999999999998</v>
      </c>
      <c r="H38" s="14">
        <v>1.32</v>
      </c>
      <c r="I38" s="13">
        <v>5237128.5625</v>
      </c>
      <c r="J38" s="15">
        <v>1</v>
      </c>
      <c r="K38" s="13">
        <v>114813901.74749994</v>
      </c>
      <c r="L38" s="13">
        <v>24511344.309999943</v>
      </c>
      <c r="M38" s="13" t="s">
        <v>42</v>
      </c>
      <c r="N38" s="179">
        <v>43831</v>
      </c>
      <c r="O38" s="16">
        <v>45292</v>
      </c>
      <c r="P38" s="13">
        <v>1704624.32</v>
      </c>
      <c r="Q38" s="222" t="e">
        <v>#VALUE!</v>
      </c>
    </row>
    <row r="39" spans="1:17" x14ac:dyDescent="0.2">
      <c r="A39" s="4" t="s">
        <v>67</v>
      </c>
      <c r="B39" s="13">
        <v>1082941284</v>
      </c>
      <c r="C39" s="13">
        <v>1016601795.6900001</v>
      </c>
      <c r="D39" s="13">
        <v>66339488.309999943</v>
      </c>
      <c r="E39" s="13">
        <v>29244093.050000001</v>
      </c>
      <c r="F39" s="13">
        <v>27168342</v>
      </c>
      <c r="G39" s="14">
        <v>2.44</v>
      </c>
      <c r="H39" s="14">
        <v>1.08</v>
      </c>
      <c r="I39" s="13">
        <v>2437007.7541666669</v>
      </c>
      <c r="J39" s="15">
        <v>4</v>
      </c>
      <c r="K39" s="13">
        <v>56591457.293333277</v>
      </c>
      <c r="L39" s="13">
        <v>3000701.0774999857</v>
      </c>
      <c r="M39" s="13" t="s">
        <v>42</v>
      </c>
      <c r="N39" s="179">
        <v>43922</v>
      </c>
      <c r="O39" s="16">
        <v>45383</v>
      </c>
      <c r="P39" s="13">
        <v>4710333.67</v>
      </c>
      <c r="Q39" s="222" t="e">
        <v>#VALUE!</v>
      </c>
    </row>
    <row r="40" spans="1:17" x14ac:dyDescent="0.2">
      <c r="A40" s="4" t="s">
        <v>51</v>
      </c>
      <c r="B40" s="13">
        <v>1035563531</v>
      </c>
      <c r="C40" s="13">
        <v>976818563.53999996</v>
      </c>
      <c r="D40" s="13">
        <v>58744967.460000038</v>
      </c>
      <c r="E40" s="13">
        <v>17722598.41</v>
      </c>
      <c r="F40" s="13">
        <v>24645105</v>
      </c>
      <c r="G40" s="14">
        <v>2.38</v>
      </c>
      <c r="H40" s="14">
        <v>0.72</v>
      </c>
      <c r="I40" s="13">
        <v>1476883.2008333334</v>
      </c>
      <c r="J40" s="15">
        <v>1</v>
      </c>
      <c r="K40" s="13">
        <v>57268084.259166703</v>
      </c>
      <c r="L40" s="13">
        <v>9454757.4600000381</v>
      </c>
      <c r="M40" s="13" t="s">
        <v>42</v>
      </c>
      <c r="N40" s="179">
        <v>43831</v>
      </c>
      <c r="O40" s="16">
        <v>45292</v>
      </c>
      <c r="P40" s="13">
        <v>1918506.51</v>
      </c>
      <c r="Q40" s="222" t="e">
        <v>#VALUE!</v>
      </c>
    </row>
    <row r="41" spans="1:17" x14ac:dyDescent="0.2">
      <c r="A41" s="4" t="s">
        <v>49</v>
      </c>
      <c r="B41" s="13">
        <v>1215383392.1700001</v>
      </c>
      <c r="C41" s="13">
        <v>1157542144.8199999</v>
      </c>
      <c r="D41" s="13">
        <v>57841247.350000143</v>
      </c>
      <c r="E41" s="13">
        <v>17384483.539999999</v>
      </c>
      <c r="F41" s="13">
        <v>24335266</v>
      </c>
      <c r="G41" s="14">
        <v>2.38</v>
      </c>
      <c r="H41" s="14">
        <v>0.71</v>
      </c>
      <c r="I41" s="13">
        <v>1448706.9616666667</v>
      </c>
      <c r="J41" s="15">
        <v>7</v>
      </c>
      <c r="K41" s="13">
        <v>47700298.618333474</v>
      </c>
      <c r="L41" s="13" t="s">
        <v>42</v>
      </c>
      <c r="M41" s="13" t="s">
        <v>42</v>
      </c>
      <c r="N41" s="179">
        <v>43647</v>
      </c>
      <c r="O41" s="16">
        <v>45474</v>
      </c>
      <c r="P41" s="13">
        <v>711445.55</v>
      </c>
      <c r="Q41" s="222" t="e">
        <v>#VALUE!</v>
      </c>
    </row>
    <row r="42" spans="1:17" x14ac:dyDescent="0.2">
      <c r="A42" s="4" t="s">
        <v>68</v>
      </c>
      <c r="B42" s="13">
        <v>497245980</v>
      </c>
      <c r="C42" s="13">
        <v>469467986.56999999</v>
      </c>
      <c r="D42" s="13">
        <v>27777993.430000007</v>
      </c>
      <c r="E42" s="13">
        <v>11530030.82</v>
      </c>
      <c r="F42" s="13">
        <v>11808636</v>
      </c>
      <c r="G42" s="14">
        <v>2.35</v>
      </c>
      <c r="H42" s="14">
        <v>0.98</v>
      </c>
      <c r="I42" s="13">
        <v>960835.90166666673</v>
      </c>
      <c r="J42" s="15">
        <v>1</v>
      </c>
      <c r="K42" s="13">
        <v>26817157.52833334</v>
      </c>
      <c r="L42" s="13">
        <v>4160721.4300000072</v>
      </c>
      <c r="M42" s="13" t="s">
        <v>42</v>
      </c>
      <c r="N42" s="179">
        <v>43831</v>
      </c>
      <c r="O42" s="16">
        <v>45292</v>
      </c>
      <c r="P42" s="13">
        <v>952417.55</v>
      </c>
      <c r="Q42" s="222" t="e">
        <v>#VALUE!</v>
      </c>
    </row>
    <row r="43" spans="1:17" x14ac:dyDescent="0.2">
      <c r="A43" s="4" t="s">
        <v>50</v>
      </c>
      <c r="B43" s="13">
        <v>1601312682.0699999</v>
      </c>
      <c r="C43" s="13">
        <v>1504719780.1900001</v>
      </c>
      <c r="D43" s="13">
        <v>96592901.879999876</v>
      </c>
      <c r="E43" s="13">
        <v>39459146.649999999</v>
      </c>
      <c r="F43" s="13">
        <v>41389514</v>
      </c>
      <c r="G43" s="14">
        <v>2.33</v>
      </c>
      <c r="H43" s="14">
        <v>0.95</v>
      </c>
      <c r="I43" s="13">
        <v>3288262.2208333332</v>
      </c>
      <c r="J43" s="15">
        <v>7</v>
      </c>
      <c r="K43" s="13">
        <v>73575066.334166542</v>
      </c>
      <c r="L43" s="13" t="s">
        <v>42</v>
      </c>
      <c r="M43" s="13" t="s">
        <v>42</v>
      </c>
      <c r="N43" s="179">
        <v>43647</v>
      </c>
      <c r="O43" s="16">
        <v>45474</v>
      </c>
      <c r="P43" s="13">
        <v>1575239.91</v>
      </c>
      <c r="Q43" s="222" t="e">
        <v>#VALUE!</v>
      </c>
    </row>
    <row r="44" spans="1:17" x14ac:dyDescent="0.2">
      <c r="A44" s="4" t="s">
        <v>55</v>
      </c>
      <c r="B44" s="13">
        <v>660266370</v>
      </c>
      <c r="C44" s="13">
        <v>627998954.94000006</v>
      </c>
      <c r="D44" s="13">
        <v>32267415.059999943</v>
      </c>
      <c r="E44" s="13">
        <v>11642950.92</v>
      </c>
      <c r="F44" s="13">
        <v>14821600</v>
      </c>
      <c r="G44" s="14">
        <v>2.1800000000000002</v>
      </c>
      <c r="H44" s="14">
        <v>0.79</v>
      </c>
      <c r="I44" s="13">
        <v>970245.91</v>
      </c>
      <c r="J44" s="15">
        <v>1</v>
      </c>
      <c r="K44" s="13">
        <v>31297169.149999943</v>
      </c>
      <c r="L44" s="13">
        <v>2624215.0599999428</v>
      </c>
      <c r="M44" s="13" t="s">
        <v>42</v>
      </c>
      <c r="N44" s="179">
        <v>43466</v>
      </c>
      <c r="O44" s="16">
        <v>45292</v>
      </c>
      <c r="P44" s="13">
        <v>1145735.07</v>
      </c>
      <c r="Q44" s="222" t="e">
        <v>#VALUE!</v>
      </c>
    </row>
    <row r="45" spans="1:17" x14ac:dyDescent="0.2">
      <c r="A45" s="4" t="s">
        <v>69</v>
      </c>
      <c r="B45" s="13">
        <v>238203233</v>
      </c>
      <c r="C45" s="13">
        <v>226447797.88999999</v>
      </c>
      <c r="D45" s="13">
        <v>11755435.110000014</v>
      </c>
      <c r="E45" s="13">
        <v>5633398.1200000001</v>
      </c>
      <c r="F45" s="13">
        <v>5501208</v>
      </c>
      <c r="G45" s="14">
        <v>2.14</v>
      </c>
      <c r="H45" s="14">
        <v>1.02</v>
      </c>
      <c r="I45" s="13">
        <v>469449.84333333332</v>
      </c>
      <c r="J45" s="15">
        <v>7</v>
      </c>
      <c r="K45" s="13">
        <v>8469286.2066666819</v>
      </c>
      <c r="L45" s="13" t="s">
        <v>42</v>
      </c>
      <c r="M45" s="13" t="s">
        <v>42</v>
      </c>
      <c r="N45" s="179">
        <v>43647</v>
      </c>
      <c r="O45" s="16">
        <v>45474</v>
      </c>
      <c r="P45" s="13">
        <v>0</v>
      </c>
      <c r="Q45" s="222" t="e">
        <v>#VALUE!</v>
      </c>
    </row>
    <row r="46" spans="1:17" x14ac:dyDescent="0.2">
      <c r="A46" s="4" t="s">
        <v>57</v>
      </c>
      <c r="B46" s="13">
        <v>95802497</v>
      </c>
      <c r="C46" s="13">
        <v>89816668.900000006</v>
      </c>
      <c r="D46" s="13">
        <v>5985828.099999994</v>
      </c>
      <c r="E46" s="13">
        <v>4560319.3099999996</v>
      </c>
      <c r="F46" s="13">
        <v>2895399</v>
      </c>
      <c r="G46" s="14">
        <v>2.0699999999999998</v>
      </c>
      <c r="H46" s="14">
        <v>1.58</v>
      </c>
      <c r="I46" s="13">
        <v>380026.60916666663</v>
      </c>
      <c r="J46" s="15">
        <v>7</v>
      </c>
      <c r="K46" s="13">
        <v>3325641.8358333278</v>
      </c>
      <c r="L46" s="13" t="s">
        <v>42</v>
      </c>
      <c r="M46" s="13" t="s">
        <v>42</v>
      </c>
      <c r="N46" s="179">
        <v>43647</v>
      </c>
      <c r="O46" s="16">
        <v>45474</v>
      </c>
      <c r="P46" s="13">
        <v>0</v>
      </c>
      <c r="Q46" s="222" t="e">
        <v>#VALUE!</v>
      </c>
    </row>
    <row r="47" spans="1:17" x14ac:dyDescent="0.2">
      <c r="A47" s="4" t="s">
        <v>61</v>
      </c>
      <c r="B47" s="13">
        <v>1062416247.5</v>
      </c>
      <c r="C47" s="13">
        <v>1017067038.5700001</v>
      </c>
      <c r="D47" s="13">
        <v>45349208.929999948</v>
      </c>
      <c r="E47" s="13">
        <v>23415710.699999999</v>
      </c>
      <c r="F47" s="13">
        <v>23271036</v>
      </c>
      <c r="G47" s="14">
        <v>1.95</v>
      </c>
      <c r="H47" s="14">
        <v>1.01</v>
      </c>
      <c r="I47" s="13">
        <v>1951309.2249999999</v>
      </c>
      <c r="J47" s="15">
        <v>4</v>
      </c>
      <c r="K47" s="13">
        <v>37543972.029999949</v>
      </c>
      <c r="L47" s="13" t="s">
        <v>42</v>
      </c>
      <c r="M47" s="13" t="s">
        <v>42</v>
      </c>
      <c r="N47" s="179">
        <v>43556</v>
      </c>
      <c r="O47" s="16">
        <v>45383</v>
      </c>
      <c r="P47" s="13">
        <v>187283.05</v>
      </c>
      <c r="Q47" s="222" t="e">
        <v>#VALUE!</v>
      </c>
    </row>
    <row r="48" spans="1:17" x14ac:dyDescent="0.2">
      <c r="A48" s="4" t="s">
        <v>59</v>
      </c>
      <c r="B48" s="13">
        <v>270139589</v>
      </c>
      <c r="C48" s="13">
        <v>256047136.47999999</v>
      </c>
      <c r="D48" s="13">
        <v>14092452.520000011</v>
      </c>
      <c r="E48" s="13">
        <v>6920257.0199999996</v>
      </c>
      <c r="F48" s="13">
        <v>7334647</v>
      </c>
      <c r="G48" s="14">
        <v>1.92</v>
      </c>
      <c r="H48" s="14">
        <v>0.94</v>
      </c>
      <c r="I48" s="13">
        <v>576688.08499999996</v>
      </c>
      <c r="J48" s="15">
        <v>7</v>
      </c>
      <c r="K48" s="13">
        <v>10055635.925000012</v>
      </c>
      <c r="L48" s="13" t="s">
        <v>42</v>
      </c>
      <c r="M48" s="13" t="s">
        <v>42</v>
      </c>
      <c r="N48" s="179">
        <v>43647</v>
      </c>
      <c r="O48" s="16">
        <v>45474</v>
      </c>
      <c r="P48" s="13">
        <v>796703</v>
      </c>
      <c r="Q48" s="222" t="e">
        <v>#VALUE!</v>
      </c>
    </row>
    <row r="49" spans="1:17" x14ac:dyDescent="0.2">
      <c r="A49" s="4" t="s">
        <v>58</v>
      </c>
      <c r="B49" s="13">
        <v>1182616448</v>
      </c>
      <c r="C49" s="13">
        <v>1139726426.79</v>
      </c>
      <c r="D49" s="13">
        <v>42890021.210000038</v>
      </c>
      <c r="E49" s="13">
        <v>22509195.789999999</v>
      </c>
      <c r="F49" s="13">
        <v>22759065</v>
      </c>
      <c r="G49" s="14">
        <v>1.88</v>
      </c>
      <c r="H49" s="14">
        <v>0.99</v>
      </c>
      <c r="I49" s="13">
        <v>1875766.3158333332</v>
      </c>
      <c r="J49" s="15">
        <v>4</v>
      </c>
      <c r="K49" s="13">
        <v>35386955.946666703</v>
      </c>
      <c r="L49" s="13" t="s">
        <v>42</v>
      </c>
      <c r="M49" s="13" t="s">
        <v>42</v>
      </c>
      <c r="N49" s="179">
        <v>43922</v>
      </c>
      <c r="O49" s="16">
        <v>45383</v>
      </c>
      <c r="P49" s="13">
        <v>4577311.45</v>
      </c>
      <c r="Q49" s="222" t="e">
        <v>#VALUE!</v>
      </c>
    </row>
    <row r="50" spans="1:17" x14ac:dyDescent="0.2">
      <c r="A50" s="4" t="s">
        <v>65</v>
      </c>
      <c r="B50" s="13">
        <v>379033306</v>
      </c>
      <c r="C50" s="13">
        <v>364531179.73000002</v>
      </c>
      <c r="D50" s="13">
        <v>14502126.269999981</v>
      </c>
      <c r="E50" s="13">
        <v>9788819.8699999992</v>
      </c>
      <c r="F50" s="13">
        <v>9905563</v>
      </c>
      <c r="G50" s="14">
        <v>1.46</v>
      </c>
      <c r="H50" s="14">
        <v>0.99</v>
      </c>
      <c r="I50" s="13">
        <v>815734.98916666664</v>
      </c>
      <c r="J50" s="15">
        <v>7</v>
      </c>
      <c r="K50" s="13">
        <v>8791981.3458333146</v>
      </c>
      <c r="L50" s="13" t="s">
        <v>42</v>
      </c>
      <c r="M50" s="13" t="s">
        <v>42</v>
      </c>
      <c r="N50" s="179">
        <v>43647</v>
      </c>
      <c r="O50" s="16">
        <v>45474</v>
      </c>
      <c r="P50" s="13">
        <v>1024548.35</v>
      </c>
      <c r="Q50" s="222" t="e">
        <v>#VALUE!</v>
      </c>
    </row>
    <row r="51" spans="1:17" x14ac:dyDescent="0.2">
      <c r="A51" s="4" t="s">
        <v>66</v>
      </c>
      <c r="B51" s="13">
        <v>1894617832.77</v>
      </c>
      <c r="C51" s="13">
        <v>1829004918.0599999</v>
      </c>
      <c r="D51" s="13">
        <v>65612914.710000038</v>
      </c>
      <c r="E51" s="13">
        <v>44236263.140000001</v>
      </c>
      <c r="F51" s="13">
        <v>45251402</v>
      </c>
      <c r="G51" s="14">
        <v>1.45</v>
      </c>
      <c r="H51" s="14">
        <v>0.98</v>
      </c>
      <c r="I51" s="13">
        <v>3686355.2616666667</v>
      </c>
      <c r="J51" s="15">
        <v>7</v>
      </c>
      <c r="K51" s="13">
        <v>39808427.878333375</v>
      </c>
      <c r="L51" s="13" t="s">
        <v>42</v>
      </c>
      <c r="M51" s="13" t="s">
        <v>42</v>
      </c>
      <c r="N51" s="179">
        <v>43647</v>
      </c>
      <c r="O51" s="16">
        <v>45474</v>
      </c>
      <c r="P51" s="13">
        <v>5538138.9400000004</v>
      </c>
      <c r="Q51" s="222" t="e">
        <v>#VALUE!</v>
      </c>
    </row>
    <row r="52" spans="1:17" x14ac:dyDescent="0.2">
      <c r="A52" s="4" t="s">
        <v>70</v>
      </c>
      <c r="B52" s="13">
        <v>72717998</v>
      </c>
      <c r="C52" s="13">
        <v>70979356.209999993</v>
      </c>
      <c r="D52" s="18">
        <v>1738641.7900000066</v>
      </c>
      <c r="E52" s="13">
        <v>2333936.2000000002</v>
      </c>
      <c r="F52" s="13">
        <v>2684959</v>
      </c>
      <c r="G52" s="14">
        <v>0.65</v>
      </c>
      <c r="H52" s="14">
        <v>0.87</v>
      </c>
      <c r="I52" s="18">
        <v>194494.68333333335</v>
      </c>
      <c r="J52" s="15">
        <v>7</v>
      </c>
      <c r="K52" s="18">
        <v>377179.00666667311</v>
      </c>
      <c r="L52" s="18" t="s">
        <v>42</v>
      </c>
      <c r="M52" s="18" t="s">
        <v>42</v>
      </c>
      <c r="N52" s="180">
        <v>43647</v>
      </c>
      <c r="O52" s="16">
        <v>45474</v>
      </c>
      <c r="P52" s="13">
        <v>348656.26</v>
      </c>
      <c r="Q52" s="222" t="e">
        <v>#VALUE!</v>
      </c>
    </row>
    <row r="53" spans="1:17" x14ac:dyDescent="0.25">
      <c r="A53" s="34" t="s">
        <v>71</v>
      </c>
      <c r="B53" s="31">
        <v>42557496121.709999</v>
      </c>
      <c r="C53" s="13">
        <v>39354202635.809998</v>
      </c>
      <c r="D53" s="31">
        <v>3203293485.9000015</v>
      </c>
      <c r="E53" s="13">
        <v>910931309.07000005</v>
      </c>
      <c r="F53" s="13">
        <v>986809248</v>
      </c>
      <c r="G53" s="14">
        <v>3.25</v>
      </c>
      <c r="H53" s="14">
        <v>0.92</v>
      </c>
      <c r="I53" s="31">
        <v>75910942.422499999</v>
      </c>
      <c r="J53" s="32"/>
      <c r="K53" s="33"/>
      <c r="L53" s="33"/>
      <c r="M53" s="33"/>
      <c r="N53" s="33"/>
      <c r="O53" s="33"/>
      <c r="P53" s="31">
        <v>78924293.790000007</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36</v>
      </c>
      <c r="H56" s="25"/>
    </row>
    <row r="57" spans="1:17" ht="27" customHeight="1" thickBot="1" x14ac:dyDescent="0.3">
      <c r="D57" s="228" t="s">
        <v>73</v>
      </c>
      <c r="E57" s="229"/>
      <c r="F57" s="229"/>
      <c r="G57" s="27"/>
      <c r="H57" s="28">
        <v>36</v>
      </c>
    </row>
  </sheetData>
  <mergeCells count="2">
    <mergeCell ref="D56:F56"/>
    <mergeCell ref="D57:F57"/>
  </mergeCells>
  <conditionalFormatting sqref="G54">
    <cfRule type="cellIs" dxfId="349" priority="13" stopIfTrue="1" operator="greaterThan">
      <formula>2.5</formula>
    </cfRule>
    <cfRule type="cellIs" dxfId="348" priority="14" stopIfTrue="1" operator="between">
      <formula>2.01</formula>
      <formula>2.5</formula>
    </cfRule>
  </conditionalFormatting>
  <conditionalFormatting sqref="H3:H53">
    <cfRule type="cellIs" dxfId="347" priority="12" stopIfTrue="1" operator="lessThan">
      <formula>1</formula>
    </cfRule>
  </conditionalFormatting>
  <conditionalFormatting sqref="G3:G53">
    <cfRule type="cellIs" dxfId="346" priority="10" stopIfTrue="1" operator="greaterThan">
      <formula>2.5</formula>
    </cfRule>
    <cfRule type="cellIs" dxfId="345" priority="11" stopIfTrue="1" operator="between">
      <formula>2.01</formula>
      <formula>2.5</formula>
    </cfRule>
  </conditionalFormatting>
  <conditionalFormatting sqref="K3:K52">
    <cfRule type="cellIs" dxfId="344" priority="8" stopIfTrue="1" operator="greaterThan">
      <formula>$F3*2.5</formula>
    </cfRule>
    <cfRule type="cellIs" dxfId="343" priority="9" stopIfTrue="1" operator="between">
      <formula>$F3*2</formula>
      <formula>$F3*2.5</formula>
    </cfRule>
  </conditionalFormatting>
  <conditionalFormatting sqref="G54">
    <cfRule type="cellIs" dxfId="342" priority="6" stopIfTrue="1" operator="greaterThan">
      <formula>2.5</formula>
    </cfRule>
    <cfRule type="cellIs" dxfId="341" priority="7" stopIfTrue="1" operator="between">
      <formula>2.01</formula>
      <formula>2.5</formula>
    </cfRule>
  </conditionalFormatting>
  <conditionalFormatting sqref="H3:H53">
    <cfRule type="cellIs" dxfId="340" priority="5" stopIfTrue="1" operator="lessThan">
      <formula>1</formula>
    </cfRule>
  </conditionalFormatting>
  <conditionalFormatting sqref="G3:G53">
    <cfRule type="cellIs" dxfId="339" priority="3" stopIfTrue="1" operator="greaterThan">
      <formula>2.5</formula>
    </cfRule>
    <cfRule type="cellIs" dxfId="338" priority="4" stopIfTrue="1" operator="between">
      <formula>2.01</formula>
      <formula>2.5</formula>
    </cfRule>
  </conditionalFormatting>
  <conditionalFormatting sqref="K3:K52">
    <cfRule type="cellIs" dxfId="337" priority="1" stopIfTrue="1" operator="greaterThan">
      <formula>$F3*2.5</formula>
    </cfRule>
    <cfRule type="cellIs" dxfId="336"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28F5D-58E5-40CD-BB7B-8F269A8E8F09}">
  <sheetPr>
    <tabColor rgb="FF92D050"/>
    <pageSetUpPr fitToPage="1"/>
  </sheetPr>
  <dimension ref="A1:Q57"/>
  <sheetViews>
    <sheetView workbookViewId="0">
      <pane xSplit="1" ySplit="2" topLeftCell="B6"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7.7265625" style="23" hidden="1" customWidth="1"/>
    <col min="17" max="17" width="12.81640625" style="17" hidden="1" customWidth="1"/>
    <col min="18" max="16384" width="9.1796875" style="17"/>
  </cols>
  <sheetData>
    <row r="1" spans="1:17" s="8" customFormat="1" ht="18" x14ac:dyDescent="0.25">
      <c r="A1" s="4" t="s">
        <v>84</v>
      </c>
      <c r="B1" s="178" t="s">
        <v>85</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21</v>
      </c>
      <c r="B3" s="13">
        <v>1788595890.3599999</v>
      </c>
      <c r="C3" s="13">
        <v>1525309664.45</v>
      </c>
      <c r="D3" s="13">
        <v>263286225.90999985</v>
      </c>
      <c r="E3" s="13">
        <v>31752415.800000001</v>
      </c>
      <c r="F3" s="13">
        <v>46272979</v>
      </c>
      <c r="G3" s="14">
        <v>5.69</v>
      </c>
      <c r="H3" s="14">
        <v>0.69</v>
      </c>
      <c r="I3" s="13">
        <v>2646034.65</v>
      </c>
      <c r="J3" s="15">
        <v>0</v>
      </c>
      <c r="K3" s="13">
        <v>263286225.90999985</v>
      </c>
      <c r="L3" s="13" t="s">
        <v>20</v>
      </c>
      <c r="M3" s="13" t="s">
        <v>20</v>
      </c>
      <c r="N3" s="179">
        <v>43831</v>
      </c>
      <c r="O3" s="16">
        <v>45292</v>
      </c>
      <c r="P3" s="13">
        <v>1226782.57</v>
      </c>
      <c r="Q3" s="223" t="e">
        <v>#VALUE!</v>
      </c>
    </row>
    <row r="4" spans="1:17" x14ac:dyDescent="0.2">
      <c r="A4" s="4" t="s">
        <v>22</v>
      </c>
      <c r="B4" s="13">
        <v>708696383.32000005</v>
      </c>
      <c r="C4" s="13">
        <v>630425318.38</v>
      </c>
      <c r="D4" s="13">
        <v>78271064.940000057</v>
      </c>
      <c r="E4" s="13">
        <v>12892505.99</v>
      </c>
      <c r="F4" s="13">
        <v>13833071</v>
      </c>
      <c r="G4" s="14">
        <v>5.66</v>
      </c>
      <c r="H4" s="14">
        <v>0.93</v>
      </c>
      <c r="I4" s="13">
        <v>1074375.4991666668</v>
      </c>
      <c r="J4" s="15">
        <v>6</v>
      </c>
      <c r="K4" s="13">
        <v>71824811.945000052</v>
      </c>
      <c r="L4" s="13">
        <v>8434153.8233333435</v>
      </c>
      <c r="M4" s="13">
        <v>7281397.9066666765</v>
      </c>
      <c r="N4" s="179">
        <v>43647</v>
      </c>
      <c r="O4" s="16">
        <v>45474</v>
      </c>
      <c r="P4" s="13">
        <v>1671809.15</v>
      </c>
      <c r="Q4" s="222" t="e">
        <v>#VALUE!</v>
      </c>
    </row>
    <row r="5" spans="1:17" x14ac:dyDescent="0.2">
      <c r="A5" s="4" t="s">
        <v>23</v>
      </c>
      <c r="B5" s="13">
        <v>1336273473.74</v>
      </c>
      <c r="C5" s="13">
        <v>1179206623.3599999</v>
      </c>
      <c r="D5" s="13">
        <v>157066850.38000011</v>
      </c>
      <c r="E5" s="13">
        <v>14735378.9</v>
      </c>
      <c r="F5" s="13">
        <v>29074134</v>
      </c>
      <c r="G5" s="14">
        <v>5.4</v>
      </c>
      <c r="H5" s="14">
        <v>0.51</v>
      </c>
      <c r="I5" s="13">
        <v>1227948.2416666667</v>
      </c>
      <c r="J5" s="15">
        <v>0</v>
      </c>
      <c r="K5" s="13">
        <v>157066850.38000011</v>
      </c>
      <c r="L5" s="13" t="s">
        <v>20</v>
      </c>
      <c r="M5" s="13" t="s">
        <v>20</v>
      </c>
      <c r="N5" s="179">
        <v>43831</v>
      </c>
      <c r="O5" s="16">
        <v>45292</v>
      </c>
      <c r="P5" s="13">
        <v>1522720.31</v>
      </c>
      <c r="Q5" s="222" t="e">
        <v>#VALUE!</v>
      </c>
    </row>
    <row r="6" spans="1:17" x14ac:dyDescent="0.2">
      <c r="A6" s="4" t="s">
        <v>24</v>
      </c>
      <c r="B6" s="13">
        <v>1469242870.97</v>
      </c>
      <c r="C6" s="13">
        <v>1292814268.3800001</v>
      </c>
      <c r="D6" s="13">
        <v>176428602.58999991</v>
      </c>
      <c r="E6" s="13">
        <v>26572836.870000001</v>
      </c>
      <c r="F6" s="13">
        <v>33073641</v>
      </c>
      <c r="G6" s="14">
        <v>5.33</v>
      </c>
      <c r="H6" s="14">
        <v>0.8</v>
      </c>
      <c r="I6" s="13">
        <v>2214403.0725000002</v>
      </c>
      <c r="J6" s="15">
        <v>6</v>
      </c>
      <c r="K6" s="13">
        <v>163142184.15499991</v>
      </c>
      <c r="L6" s="13">
        <v>18380220.098333318</v>
      </c>
      <c r="M6" s="13">
        <v>15624083.34833332</v>
      </c>
      <c r="N6" s="179">
        <v>43647</v>
      </c>
      <c r="O6" s="16">
        <v>45474</v>
      </c>
      <c r="P6" s="13">
        <v>315481.40999999997</v>
      </c>
      <c r="Q6" s="222" t="e">
        <v>#VALUE!</v>
      </c>
    </row>
    <row r="7" spans="1:17" x14ac:dyDescent="0.2">
      <c r="A7" s="4" t="s">
        <v>19</v>
      </c>
      <c r="B7" s="13">
        <v>1115197398.45</v>
      </c>
      <c r="C7" s="13">
        <v>981442839.35000002</v>
      </c>
      <c r="D7" s="13">
        <v>133754559.10000002</v>
      </c>
      <c r="E7" s="13">
        <v>11466930.960000001</v>
      </c>
      <c r="F7" s="13">
        <v>26165562</v>
      </c>
      <c r="G7" s="14">
        <v>5.1100000000000003</v>
      </c>
      <c r="H7" s="14">
        <v>0.44</v>
      </c>
      <c r="I7" s="13">
        <v>955577.58000000007</v>
      </c>
      <c r="J7" s="15">
        <v>6</v>
      </c>
      <c r="K7" s="13">
        <v>128021093.62000002</v>
      </c>
      <c r="L7" s="13">
        <v>13570572.516666671</v>
      </c>
      <c r="M7" s="13">
        <v>11390109.016666671</v>
      </c>
      <c r="N7" s="179">
        <v>43647</v>
      </c>
      <c r="O7" s="16">
        <v>45474</v>
      </c>
      <c r="P7" s="13">
        <v>268184.96999999997</v>
      </c>
      <c r="Q7" s="222" t="e">
        <v>#VALUE!</v>
      </c>
    </row>
    <row r="8" spans="1:17" x14ac:dyDescent="0.2">
      <c r="A8" s="4" t="s">
        <v>40</v>
      </c>
      <c r="B8" s="13">
        <v>203184695.25999999</v>
      </c>
      <c r="C8" s="13">
        <v>175823579.72</v>
      </c>
      <c r="D8" s="13">
        <v>27361115.539999992</v>
      </c>
      <c r="E8" s="13">
        <v>3709939.09</v>
      </c>
      <c r="F8" s="13">
        <v>5655134</v>
      </c>
      <c r="G8" s="14">
        <v>4.84</v>
      </c>
      <c r="H8" s="14">
        <v>0.66</v>
      </c>
      <c r="I8" s="13">
        <v>309161.59083333332</v>
      </c>
      <c r="J8" s="15">
        <v>6</v>
      </c>
      <c r="K8" s="13">
        <v>25506145.99499999</v>
      </c>
      <c r="L8" s="13">
        <v>2675141.2566666654</v>
      </c>
      <c r="M8" s="13">
        <v>2203880.0899999985</v>
      </c>
      <c r="N8" s="179">
        <v>43647</v>
      </c>
      <c r="O8" s="16">
        <v>45474</v>
      </c>
      <c r="P8" s="13">
        <v>0</v>
      </c>
      <c r="Q8" s="222" t="e">
        <v>#VALUE!</v>
      </c>
    </row>
    <row r="9" spans="1:17" x14ac:dyDescent="0.2">
      <c r="A9" s="4" t="s">
        <v>25</v>
      </c>
      <c r="B9" s="13">
        <v>265120500</v>
      </c>
      <c r="C9" s="13">
        <v>235802323.03</v>
      </c>
      <c r="D9" s="13">
        <v>29318176.969999999</v>
      </c>
      <c r="E9" s="13">
        <v>7056270.21</v>
      </c>
      <c r="F9" s="13">
        <v>6172506</v>
      </c>
      <c r="G9" s="14">
        <v>4.75</v>
      </c>
      <c r="H9" s="14">
        <v>1.1399999999999999</v>
      </c>
      <c r="I9" s="13">
        <v>588022.51749999996</v>
      </c>
      <c r="J9" s="15">
        <v>3</v>
      </c>
      <c r="K9" s="13">
        <v>27554109.4175</v>
      </c>
      <c r="L9" s="13">
        <v>5657721.6566666663</v>
      </c>
      <c r="M9" s="13">
        <v>4628970.6566666663</v>
      </c>
      <c r="N9" s="179">
        <v>43922</v>
      </c>
      <c r="O9" s="16">
        <v>45383</v>
      </c>
      <c r="P9" s="13">
        <v>1526828.95</v>
      </c>
      <c r="Q9" s="222" t="e">
        <v>#VALUE!</v>
      </c>
    </row>
    <row r="10" spans="1:17" x14ac:dyDescent="0.2">
      <c r="A10" s="4" t="s">
        <v>26</v>
      </c>
      <c r="B10" s="13">
        <v>120899760.39</v>
      </c>
      <c r="C10" s="13">
        <v>104306245.64</v>
      </c>
      <c r="D10" s="13">
        <v>16593514.75</v>
      </c>
      <c r="E10" s="13">
        <v>1742257.77</v>
      </c>
      <c r="F10" s="13">
        <v>3521015</v>
      </c>
      <c r="G10" s="14">
        <v>4.71</v>
      </c>
      <c r="H10" s="14">
        <v>0.49</v>
      </c>
      <c r="I10" s="13">
        <v>145188.14749999999</v>
      </c>
      <c r="J10" s="15">
        <v>0</v>
      </c>
      <c r="K10" s="13">
        <v>16593514.75</v>
      </c>
      <c r="L10" s="13" t="s">
        <v>20</v>
      </c>
      <c r="M10" s="13" t="s">
        <v>20</v>
      </c>
      <c r="N10" s="179">
        <v>43831</v>
      </c>
      <c r="O10" s="16">
        <v>45292</v>
      </c>
      <c r="P10" s="13">
        <v>140840.22</v>
      </c>
      <c r="Q10" s="222" t="e">
        <v>#VALUE!</v>
      </c>
    </row>
    <row r="11" spans="1:17" x14ac:dyDescent="0.2">
      <c r="A11" s="4" t="s">
        <v>27</v>
      </c>
      <c r="B11" s="13">
        <v>853256279</v>
      </c>
      <c r="C11" s="13">
        <v>768289005.50999999</v>
      </c>
      <c r="D11" s="13">
        <v>84967273.49000001</v>
      </c>
      <c r="E11" s="13">
        <v>15206880.970000001</v>
      </c>
      <c r="F11" s="13">
        <v>18836467</v>
      </c>
      <c r="G11" s="14">
        <v>4.51</v>
      </c>
      <c r="H11" s="14">
        <v>0.81</v>
      </c>
      <c r="I11" s="13">
        <v>1267240.0808333333</v>
      </c>
      <c r="J11" s="15">
        <v>9</v>
      </c>
      <c r="K11" s="13">
        <v>73562112.762500018</v>
      </c>
      <c r="L11" s="13">
        <v>5254926.6100000013</v>
      </c>
      <c r="M11" s="13">
        <v>4208456.2211111123</v>
      </c>
      <c r="N11" s="179">
        <v>43739</v>
      </c>
      <c r="O11" s="16">
        <v>45566</v>
      </c>
      <c r="P11" s="13">
        <v>969437.15</v>
      </c>
      <c r="Q11" s="222" t="e">
        <v>#VALUE!</v>
      </c>
    </row>
    <row r="12" spans="1:17" x14ac:dyDescent="0.2">
      <c r="A12" s="4" t="s">
        <v>31</v>
      </c>
      <c r="B12" s="13">
        <v>493558716</v>
      </c>
      <c r="C12" s="13">
        <v>443751468.38</v>
      </c>
      <c r="D12" s="13">
        <v>49807247.620000005</v>
      </c>
      <c r="E12" s="13">
        <v>7839250.8300000001</v>
      </c>
      <c r="F12" s="13">
        <v>11038481</v>
      </c>
      <c r="G12" s="14">
        <v>4.51</v>
      </c>
      <c r="H12" s="14">
        <v>0.71</v>
      </c>
      <c r="I12" s="13">
        <v>653270.90249999997</v>
      </c>
      <c r="J12" s="15">
        <v>0</v>
      </c>
      <c r="K12" s="13">
        <v>49807247.620000005</v>
      </c>
      <c r="L12" s="13" t="s">
        <v>20</v>
      </c>
      <c r="M12" s="13" t="s">
        <v>20</v>
      </c>
      <c r="N12" s="179">
        <v>43831</v>
      </c>
      <c r="O12" s="16">
        <v>45292</v>
      </c>
      <c r="P12" s="13">
        <v>575763.82999999996</v>
      </c>
      <c r="Q12" s="222" t="e">
        <v>#VALUE!</v>
      </c>
    </row>
    <row r="13" spans="1:17" x14ac:dyDescent="0.2">
      <c r="A13" s="4" t="s">
        <v>37</v>
      </c>
      <c r="B13" s="13">
        <v>187480557</v>
      </c>
      <c r="C13" s="13">
        <v>171790081.40000001</v>
      </c>
      <c r="D13" s="13">
        <v>15690475.599999994</v>
      </c>
      <c r="E13" s="13">
        <v>2325112.39</v>
      </c>
      <c r="F13" s="13">
        <v>3515583</v>
      </c>
      <c r="G13" s="14">
        <v>4.46</v>
      </c>
      <c r="H13" s="14">
        <v>0.66</v>
      </c>
      <c r="I13" s="13">
        <v>193759.36583333334</v>
      </c>
      <c r="J13" s="15">
        <v>6</v>
      </c>
      <c r="K13" s="13">
        <v>14527919.404999994</v>
      </c>
      <c r="L13" s="13">
        <v>1443218.2666666657</v>
      </c>
      <c r="M13" s="13">
        <v>1150253.0166666657</v>
      </c>
      <c r="N13" s="179">
        <v>43647</v>
      </c>
      <c r="O13" s="16">
        <v>45474</v>
      </c>
      <c r="P13" s="13">
        <v>290897.87</v>
      </c>
      <c r="Q13" s="222" t="e">
        <v>#VALUE!</v>
      </c>
    </row>
    <row r="14" spans="1:17" x14ac:dyDescent="0.2">
      <c r="A14" s="4" t="s">
        <v>28</v>
      </c>
      <c r="B14" s="13">
        <v>1945106991</v>
      </c>
      <c r="C14" s="13">
        <v>1847662716.8099999</v>
      </c>
      <c r="D14" s="13">
        <v>97444274.190000057</v>
      </c>
      <c r="E14" s="13">
        <v>22609317.190000001</v>
      </c>
      <c r="F14" s="13">
        <v>22131554</v>
      </c>
      <c r="G14" s="14">
        <v>4.4000000000000004</v>
      </c>
      <c r="H14" s="14">
        <v>1.02</v>
      </c>
      <c r="I14" s="13">
        <v>1884109.7658333334</v>
      </c>
      <c r="J14" s="15">
        <v>6</v>
      </c>
      <c r="K14" s="13">
        <v>86139615.595000058</v>
      </c>
      <c r="L14" s="13">
        <v>8863527.6983333435</v>
      </c>
      <c r="M14" s="13">
        <v>7019231.5316666765</v>
      </c>
      <c r="N14" s="179">
        <v>43647</v>
      </c>
      <c r="O14" s="16">
        <v>45474</v>
      </c>
      <c r="P14" s="13">
        <v>923250.9</v>
      </c>
      <c r="Q14" s="222" t="e">
        <v>#VALUE!</v>
      </c>
    </row>
    <row r="15" spans="1:17" x14ac:dyDescent="0.2">
      <c r="A15" s="4" t="s">
        <v>32</v>
      </c>
      <c r="B15" s="13">
        <v>1168142277.4400001</v>
      </c>
      <c r="C15" s="13">
        <v>1055513858.26</v>
      </c>
      <c r="D15" s="13">
        <v>112628419.18000007</v>
      </c>
      <c r="E15" s="13">
        <v>20113332.32</v>
      </c>
      <c r="F15" s="13">
        <v>26355588</v>
      </c>
      <c r="G15" s="14">
        <v>4.2699999999999996</v>
      </c>
      <c r="H15" s="14">
        <v>0.76</v>
      </c>
      <c r="I15" s="13">
        <v>1676111.0266666666</v>
      </c>
      <c r="J15" s="15">
        <v>6</v>
      </c>
      <c r="K15" s="13">
        <v>102571753.02000007</v>
      </c>
      <c r="L15" s="13">
        <v>9986207.1966666784</v>
      </c>
      <c r="M15" s="13">
        <v>7789908.1966666775</v>
      </c>
      <c r="N15" s="179">
        <v>43647</v>
      </c>
      <c r="O15" s="16">
        <v>45474</v>
      </c>
      <c r="P15" s="13">
        <v>1111626</v>
      </c>
      <c r="Q15" s="222" t="e">
        <v>#VALUE!</v>
      </c>
    </row>
    <row r="16" spans="1:17" x14ac:dyDescent="0.2">
      <c r="A16" s="4" t="s">
        <v>30</v>
      </c>
      <c r="B16" s="13">
        <v>1022430792.45</v>
      </c>
      <c r="C16" s="13">
        <v>939848407.86000001</v>
      </c>
      <c r="D16" s="13">
        <v>82582384.590000033</v>
      </c>
      <c r="E16" s="13">
        <v>25079972</v>
      </c>
      <c r="F16" s="13">
        <v>19809810</v>
      </c>
      <c r="G16" s="14">
        <v>4.17</v>
      </c>
      <c r="H16" s="14">
        <v>1.27</v>
      </c>
      <c r="I16" s="13">
        <v>2089997.6666666667</v>
      </c>
      <c r="J16" s="15">
        <v>3</v>
      </c>
      <c r="K16" s="13">
        <v>76312391.590000033</v>
      </c>
      <c r="L16" s="13">
        <v>14320921.530000011</v>
      </c>
      <c r="M16" s="13">
        <v>11019286.530000011</v>
      </c>
      <c r="N16" s="179">
        <v>43922</v>
      </c>
      <c r="O16" s="16">
        <v>45383</v>
      </c>
      <c r="P16" s="13">
        <v>2628309</v>
      </c>
      <c r="Q16" s="222" t="e">
        <v>#VALUE!</v>
      </c>
    </row>
    <row r="17" spans="1:17" x14ac:dyDescent="0.2">
      <c r="A17" s="4" t="s">
        <v>35</v>
      </c>
      <c r="B17" s="13">
        <v>794219275</v>
      </c>
      <c r="C17" s="13">
        <v>715410543.16999996</v>
      </c>
      <c r="D17" s="13">
        <v>78808731.830000043</v>
      </c>
      <c r="E17" s="13">
        <v>13849790.109999999</v>
      </c>
      <c r="F17" s="13">
        <v>19107637</v>
      </c>
      <c r="G17" s="14">
        <v>4.12</v>
      </c>
      <c r="H17" s="14">
        <v>0.72</v>
      </c>
      <c r="I17" s="13">
        <v>1154149.1758333333</v>
      </c>
      <c r="J17" s="15">
        <v>6</v>
      </c>
      <c r="K17" s="13">
        <v>71883836.775000036</v>
      </c>
      <c r="L17" s="13">
        <v>6765576.3050000072</v>
      </c>
      <c r="M17" s="13">
        <v>5173273.2216666741</v>
      </c>
      <c r="N17" s="179">
        <v>43647</v>
      </c>
      <c r="O17" s="16">
        <v>45474</v>
      </c>
      <c r="P17" s="13">
        <v>1273915.23</v>
      </c>
      <c r="Q17" s="222" t="e">
        <v>#VALUE!</v>
      </c>
    </row>
    <row r="18" spans="1:17" x14ac:dyDescent="0.2">
      <c r="A18" s="4" t="s">
        <v>39</v>
      </c>
      <c r="B18" s="13">
        <v>500565228.91000003</v>
      </c>
      <c r="C18" s="13">
        <v>459832384.37</v>
      </c>
      <c r="D18" s="13">
        <v>40732844.540000021</v>
      </c>
      <c r="E18" s="13">
        <v>9836438.8100000005</v>
      </c>
      <c r="F18" s="13">
        <v>10539100</v>
      </c>
      <c r="G18" s="14">
        <v>3.86</v>
      </c>
      <c r="H18" s="14">
        <v>0.93</v>
      </c>
      <c r="I18" s="13">
        <v>819703.23416666675</v>
      </c>
      <c r="J18" s="15">
        <v>6</v>
      </c>
      <c r="K18" s="13">
        <v>35814625.13500002</v>
      </c>
      <c r="L18" s="13">
        <v>3275774.0900000036</v>
      </c>
      <c r="M18" s="13">
        <v>2397515.7566666701</v>
      </c>
      <c r="N18" s="179">
        <v>43647</v>
      </c>
      <c r="O18" s="16">
        <v>45474</v>
      </c>
      <c r="P18" s="13">
        <v>824094.71</v>
      </c>
      <c r="Q18" s="222" t="e">
        <v>#VALUE!</v>
      </c>
    </row>
    <row r="19" spans="1:17" x14ac:dyDescent="0.2">
      <c r="A19" s="4" t="s">
        <v>47</v>
      </c>
      <c r="B19" s="13">
        <v>104394118</v>
      </c>
      <c r="C19" s="13">
        <v>94466109.590000004</v>
      </c>
      <c r="D19" s="13">
        <v>9928008.4099999964</v>
      </c>
      <c r="E19" s="13">
        <v>2166757.34</v>
      </c>
      <c r="F19" s="13">
        <v>2677355</v>
      </c>
      <c r="G19" s="14">
        <v>3.71</v>
      </c>
      <c r="H19" s="14">
        <v>0.81</v>
      </c>
      <c r="I19" s="13">
        <v>180563.11166666666</v>
      </c>
      <c r="J19" s="15">
        <v>6</v>
      </c>
      <c r="K19" s="13">
        <v>8844629.7399999965</v>
      </c>
      <c r="L19" s="13">
        <v>762216.40166666603</v>
      </c>
      <c r="M19" s="13">
        <v>539103.4849999994</v>
      </c>
      <c r="N19" s="179">
        <v>43647</v>
      </c>
      <c r="O19" s="16">
        <v>45474</v>
      </c>
      <c r="P19" s="13">
        <v>0</v>
      </c>
      <c r="Q19" s="222" t="e">
        <v>#VALUE!</v>
      </c>
    </row>
    <row r="20" spans="1:17" x14ac:dyDescent="0.2">
      <c r="A20" s="4" t="s">
        <v>45</v>
      </c>
      <c r="B20" s="13">
        <v>2001064841.29</v>
      </c>
      <c r="C20" s="13">
        <v>1858582064.5999999</v>
      </c>
      <c r="D20" s="13">
        <v>142482776.69000006</v>
      </c>
      <c r="E20" s="13">
        <v>40085227.670000002</v>
      </c>
      <c r="F20" s="13">
        <v>40779947</v>
      </c>
      <c r="G20" s="14">
        <v>3.49</v>
      </c>
      <c r="H20" s="14">
        <v>0.98</v>
      </c>
      <c r="I20" s="13">
        <v>3340435.6391666667</v>
      </c>
      <c r="J20" s="15">
        <v>0</v>
      </c>
      <c r="K20" s="13">
        <v>142482776.69000006</v>
      </c>
      <c r="L20" s="13" t="s">
        <v>20</v>
      </c>
      <c r="M20" s="13" t="s">
        <v>20</v>
      </c>
      <c r="N20" s="179">
        <v>43831</v>
      </c>
      <c r="O20" s="16">
        <v>45292</v>
      </c>
      <c r="P20" s="13">
        <v>5550082.3099999996</v>
      </c>
      <c r="Q20" s="222" t="e">
        <v>#VALUE!</v>
      </c>
    </row>
    <row r="21" spans="1:17" x14ac:dyDescent="0.2">
      <c r="A21" s="4" t="s">
        <v>41</v>
      </c>
      <c r="B21" s="13">
        <v>1228777673.53</v>
      </c>
      <c r="C21" s="13">
        <v>1064921533.89</v>
      </c>
      <c r="D21" s="13">
        <v>163856139.63999999</v>
      </c>
      <c r="E21" s="13">
        <v>61641271.649999999</v>
      </c>
      <c r="F21" s="13">
        <v>47456120</v>
      </c>
      <c r="G21" s="14">
        <v>3.45</v>
      </c>
      <c r="H21" s="14">
        <v>1.3</v>
      </c>
      <c r="I21" s="13">
        <v>5136772.6375000002</v>
      </c>
      <c r="J21" s="15">
        <v>0</v>
      </c>
      <c r="K21" s="13">
        <v>163856139.63999999</v>
      </c>
      <c r="L21" s="13" t="s">
        <v>20</v>
      </c>
      <c r="M21" s="13" t="s">
        <v>20</v>
      </c>
      <c r="N21" s="179">
        <v>43831</v>
      </c>
      <c r="O21" s="16">
        <v>45292</v>
      </c>
      <c r="P21" s="13">
        <v>3651010.67</v>
      </c>
      <c r="Q21" s="222" t="e">
        <v>#VALUE!</v>
      </c>
    </row>
    <row r="22" spans="1:17" x14ac:dyDescent="0.2">
      <c r="A22" s="4" t="s">
        <v>38</v>
      </c>
      <c r="B22" s="13">
        <v>528328839.02999997</v>
      </c>
      <c r="C22" s="13">
        <v>482143589.43000001</v>
      </c>
      <c r="D22" s="13">
        <v>46185249.599999964</v>
      </c>
      <c r="E22" s="13">
        <v>17506223.989999998</v>
      </c>
      <c r="F22" s="13">
        <v>13880022</v>
      </c>
      <c r="G22" s="14">
        <v>3.33</v>
      </c>
      <c r="H22" s="14">
        <v>1.26</v>
      </c>
      <c r="I22" s="13">
        <v>1458851.9991666665</v>
      </c>
      <c r="J22" s="15">
        <v>6</v>
      </c>
      <c r="K22" s="13">
        <v>37432137.604999967</v>
      </c>
      <c r="L22" s="13">
        <v>3070867.599999994</v>
      </c>
      <c r="M22" s="13">
        <v>1914199.099999994</v>
      </c>
      <c r="N22" s="179">
        <v>43647</v>
      </c>
      <c r="O22" s="16">
        <v>45474</v>
      </c>
      <c r="P22" s="13">
        <v>4090668.28</v>
      </c>
      <c r="Q22" s="222" t="e">
        <v>#VALUE!</v>
      </c>
    </row>
    <row r="23" spans="1:17" x14ac:dyDescent="0.2">
      <c r="A23" s="4" t="s">
        <v>29</v>
      </c>
      <c r="B23" s="13">
        <v>782983569.92999995</v>
      </c>
      <c r="C23" s="13">
        <v>723895813.10000002</v>
      </c>
      <c r="D23" s="13">
        <v>59087756.829999924</v>
      </c>
      <c r="E23" s="13">
        <v>15524085.41</v>
      </c>
      <c r="F23" s="13">
        <v>17807834</v>
      </c>
      <c r="G23" s="14">
        <v>3.32</v>
      </c>
      <c r="H23" s="14">
        <v>0.87</v>
      </c>
      <c r="I23" s="13">
        <v>1293673.7841666667</v>
      </c>
      <c r="J23" s="15">
        <v>6</v>
      </c>
      <c r="K23" s="13">
        <v>51325714.124999925</v>
      </c>
      <c r="L23" s="13">
        <v>3912014.8049999871</v>
      </c>
      <c r="M23" s="13">
        <v>2428028.6383333206</v>
      </c>
      <c r="N23" s="179">
        <v>43647</v>
      </c>
      <c r="O23" s="16">
        <v>45474</v>
      </c>
      <c r="P23" s="13">
        <v>1104958.69</v>
      </c>
      <c r="Q23" s="222" t="e">
        <v>#VALUE!</v>
      </c>
    </row>
    <row r="24" spans="1:17" x14ac:dyDescent="0.2">
      <c r="A24" s="4" t="s">
        <v>34</v>
      </c>
      <c r="B24" s="13">
        <v>1408362784.9100001</v>
      </c>
      <c r="C24" s="13">
        <v>1308130950.5799999</v>
      </c>
      <c r="D24" s="13">
        <v>100231834.33000016</v>
      </c>
      <c r="E24" s="13">
        <v>19858329.82</v>
      </c>
      <c r="F24" s="13">
        <v>31050303</v>
      </c>
      <c r="G24" s="14">
        <v>3.23</v>
      </c>
      <c r="H24" s="14">
        <v>0.64</v>
      </c>
      <c r="I24" s="13">
        <v>1654860.8183333334</v>
      </c>
      <c r="J24" s="15">
        <v>6</v>
      </c>
      <c r="K24" s="13">
        <v>90302669.420000166</v>
      </c>
      <c r="L24" s="13">
        <v>6355204.7216666937</v>
      </c>
      <c r="M24" s="13">
        <v>3767679.4716666937</v>
      </c>
      <c r="N24" s="179">
        <v>43647</v>
      </c>
      <c r="O24" s="16">
        <v>45474</v>
      </c>
      <c r="P24" s="13">
        <v>1345576.99</v>
      </c>
      <c r="Q24" s="222" t="e">
        <v>#VALUE!</v>
      </c>
    </row>
    <row r="25" spans="1:17" x14ac:dyDescent="0.2">
      <c r="A25" s="4" t="s">
        <v>44</v>
      </c>
      <c r="B25" s="13">
        <v>293820746.33999997</v>
      </c>
      <c r="C25" s="13">
        <v>272645929.01999998</v>
      </c>
      <c r="D25" s="13">
        <v>21174817.319999993</v>
      </c>
      <c r="E25" s="13">
        <v>7114763.5</v>
      </c>
      <c r="F25" s="13">
        <v>6746804</v>
      </c>
      <c r="G25" s="14">
        <v>3.14</v>
      </c>
      <c r="H25" s="14">
        <v>1.05</v>
      </c>
      <c r="I25" s="13">
        <v>592896.95833333337</v>
      </c>
      <c r="J25" s="15">
        <v>6</v>
      </c>
      <c r="K25" s="13">
        <v>17617435.569999993</v>
      </c>
      <c r="L25" s="13">
        <v>1280201.5533333321</v>
      </c>
      <c r="M25" s="13">
        <v>717967.88666666544</v>
      </c>
      <c r="N25" s="179">
        <v>43647</v>
      </c>
      <c r="O25" s="16">
        <v>45474</v>
      </c>
      <c r="P25" s="13">
        <v>504921.75</v>
      </c>
      <c r="Q25" s="222" t="e">
        <v>#VALUE!</v>
      </c>
    </row>
    <row r="26" spans="1:17" x14ac:dyDescent="0.2">
      <c r="A26" s="4" t="s">
        <v>56</v>
      </c>
      <c r="B26" s="13">
        <v>1154905413</v>
      </c>
      <c r="C26" s="13">
        <v>1069674678.5700001</v>
      </c>
      <c r="D26" s="13">
        <v>85230734.429999948</v>
      </c>
      <c r="E26" s="13">
        <v>26351037.629999999</v>
      </c>
      <c r="F26" s="13">
        <v>27571438</v>
      </c>
      <c r="G26" s="14">
        <v>3.09</v>
      </c>
      <c r="H26" s="14">
        <v>0.96</v>
      </c>
      <c r="I26" s="13">
        <v>2195919.8024999998</v>
      </c>
      <c r="J26" s="15">
        <v>6</v>
      </c>
      <c r="K26" s="13">
        <v>72055215.61499995</v>
      </c>
      <c r="L26" s="13">
        <v>5014643.0716666579</v>
      </c>
      <c r="M26" s="13">
        <v>2717023.2383333244</v>
      </c>
      <c r="N26" s="179">
        <v>43647</v>
      </c>
      <c r="O26" s="16">
        <v>45474</v>
      </c>
      <c r="P26" s="13">
        <v>3578198.53</v>
      </c>
      <c r="Q26" s="222" t="e">
        <v>#VALUE!</v>
      </c>
    </row>
    <row r="27" spans="1:17" x14ac:dyDescent="0.2">
      <c r="A27" s="4" t="s">
        <v>53</v>
      </c>
      <c r="B27" s="13">
        <v>2879313105.54</v>
      </c>
      <c r="C27" s="13">
        <v>2667628905.0100002</v>
      </c>
      <c r="D27" s="13">
        <v>211684200.52999973</v>
      </c>
      <c r="E27" s="13">
        <v>73796205.530000001</v>
      </c>
      <c r="F27" s="13">
        <v>70613641</v>
      </c>
      <c r="G27" s="14">
        <v>3</v>
      </c>
      <c r="H27" s="14">
        <v>1.05</v>
      </c>
      <c r="I27" s="13">
        <v>6149683.7941666665</v>
      </c>
      <c r="J27" s="15">
        <v>8</v>
      </c>
      <c r="K27" s="13">
        <v>162486730.17666641</v>
      </c>
      <c r="L27" s="13">
        <v>8807114.8162499666</v>
      </c>
      <c r="M27" s="13" t="s">
        <v>42</v>
      </c>
      <c r="N27" s="179">
        <v>44075</v>
      </c>
      <c r="O27" s="16">
        <v>45536</v>
      </c>
      <c r="P27" s="13">
        <v>7908969.0899999999</v>
      </c>
      <c r="Q27" s="222" t="e">
        <v>#VALUE!</v>
      </c>
    </row>
    <row r="28" spans="1:17" x14ac:dyDescent="0.2">
      <c r="A28" s="4" t="s">
        <v>54</v>
      </c>
      <c r="B28" s="13">
        <v>1394382977.99</v>
      </c>
      <c r="C28" s="13">
        <v>1291760765.45</v>
      </c>
      <c r="D28" s="13">
        <v>102622212.53999996</v>
      </c>
      <c r="E28" s="13">
        <v>29992021.52</v>
      </c>
      <c r="F28" s="13">
        <v>34869850</v>
      </c>
      <c r="G28" s="14">
        <v>2.94</v>
      </c>
      <c r="H28" s="14">
        <v>0.86</v>
      </c>
      <c r="I28" s="13">
        <v>2499335.1266666665</v>
      </c>
      <c r="J28" s="15">
        <v>3</v>
      </c>
      <c r="K28" s="13">
        <v>95124207.159999967</v>
      </c>
      <c r="L28" s="13">
        <v>10960837.513333321</v>
      </c>
      <c r="M28" s="13">
        <v>5149195.8466666536</v>
      </c>
      <c r="N28" s="179">
        <v>43922</v>
      </c>
      <c r="O28" s="16">
        <v>45383</v>
      </c>
      <c r="P28" s="13">
        <v>3189681.67</v>
      </c>
      <c r="Q28" s="222" t="e">
        <v>#VALUE!</v>
      </c>
    </row>
    <row r="29" spans="1:17" x14ac:dyDescent="0.2">
      <c r="A29" s="4" t="s">
        <v>52</v>
      </c>
      <c r="B29" s="13">
        <v>522049097</v>
      </c>
      <c r="C29" s="13">
        <v>483579695.44999999</v>
      </c>
      <c r="D29" s="13">
        <v>38469401.550000012</v>
      </c>
      <c r="E29" s="13">
        <v>15386184.439999999</v>
      </c>
      <c r="F29" s="13">
        <v>13105608</v>
      </c>
      <c r="G29" s="14">
        <v>2.94</v>
      </c>
      <c r="H29" s="14">
        <v>1.17</v>
      </c>
      <c r="I29" s="13">
        <v>1282182.0366666666</v>
      </c>
      <c r="J29" s="15">
        <v>6</v>
      </c>
      <c r="K29" s="13">
        <v>30776309.330000013</v>
      </c>
      <c r="L29" s="13">
        <v>2043030.9250000019</v>
      </c>
      <c r="M29" s="13" t="s">
        <v>42</v>
      </c>
      <c r="N29" s="179">
        <v>43647</v>
      </c>
      <c r="O29" s="16">
        <v>45474</v>
      </c>
      <c r="P29" s="13">
        <v>1519058.2</v>
      </c>
      <c r="Q29" s="222" t="e">
        <v>#VALUE!</v>
      </c>
    </row>
    <row r="30" spans="1:17" x14ac:dyDescent="0.2">
      <c r="A30" s="4" t="s">
        <v>48</v>
      </c>
      <c r="B30" s="13">
        <v>545409679.30999994</v>
      </c>
      <c r="C30" s="13">
        <v>512073224.31</v>
      </c>
      <c r="D30" s="13">
        <v>33336454.99999994</v>
      </c>
      <c r="E30" s="13">
        <v>17320142.829999998</v>
      </c>
      <c r="F30" s="13">
        <v>11656242</v>
      </c>
      <c r="G30" s="14">
        <v>2.86</v>
      </c>
      <c r="H30" s="14">
        <v>1.49</v>
      </c>
      <c r="I30" s="13">
        <v>1443345.2358333331</v>
      </c>
      <c r="J30" s="15">
        <v>0</v>
      </c>
      <c r="K30" s="13">
        <v>33336454.99999994</v>
      </c>
      <c r="L30" s="13" t="s">
        <v>20</v>
      </c>
      <c r="M30" s="13" t="s">
        <v>20</v>
      </c>
      <c r="N30" s="179">
        <v>43831</v>
      </c>
      <c r="O30" s="16">
        <v>45292</v>
      </c>
      <c r="P30" s="13">
        <v>2067344</v>
      </c>
      <c r="Q30" s="222" t="e">
        <v>#VALUE!</v>
      </c>
    </row>
    <row r="31" spans="1:17" x14ac:dyDescent="0.2">
      <c r="A31" s="4" t="s">
        <v>36</v>
      </c>
      <c r="B31" s="13">
        <v>383328400.93000001</v>
      </c>
      <c r="C31" s="13">
        <v>356660912.81999999</v>
      </c>
      <c r="D31" s="13">
        <v>26667488.110000014</v>
      </c>
      <c r="E31" s="13">
        <v>10134196.050000001</v>
      </c>
      <c r="F31" s="13">
        <v>9345978</v>
      </c>
      <c r="G31" s="14">
        <v>2.85</v>
      </c>
      <c r="H31" s="14">
        <v>1.08</v>
      </c>
      <c r="I31" s="13">
        <v>844516.33750000002</v>
      </c>
      <c r="J31" s="15">
        <v>3</v>
      </c>
      <c r="K31" s="13">
        <v>24133939.097500015</v>
      </c>
      <c r="L31" s="13">
        <v>2658510.7033333383</v>
      </c>
      <c r="M31" s="13">
        <v>1100847.703333338</v>
      </c>
      <c r="N31" s="179">
        <v>43556</v>
      </c>
      <c r="O31" s="16">
        <v>45383</v>
      </c>
      <c r="P31" s="13">
        <v>3501246.65</v>
      </c>
      <c r="Q31" s="222" t="e">
        <v>#VALUE!</v>
      </c>
    </row>
    <row r="32" spans="1:17" x14ac:dyDescent="0.2">
      <c r="A32" s="4" t="s">
        <v>64</v>
      </c>
      <c r="B32" s="13">
        <v>346058940</v>
      </c>
      <c r="C32" s="13">
        <v>319532075.25999999</v>
      </c>
      <c r="D32" s="13">
        <v>26526864.74000001</v>
      </c>
      <c r="E32" s="13">
        <v>5654529.9400000004</v>
      </c>
      <c r="F32" s="13">
        <v>9353201</v>
      </c>
      <c r="G32" s="14">
        <v>2.84</v>
      </c>
      <c r="H32" s="14">
        <v>0.6</v>
      </c>
      <c r="I32" s="13">
        <v>471210.82833333337</v>
      </c>
      <c r="J32" s="15">
        <v>0</v>
      </c>
      <c r="K32" s="13">
        <v>26526864.74000001</v>
      </c>
      <c r="L32" s="13" t="s">
        <v>20</v>
      </c>
      <c r="M32" s="13" t="s">
        <v>20</v>
      </c>
      <c r="N32" s="179">
        <v>43831</v>
      </c>
      <c r="O32" s="16">
        <v>45292</v>
      </c>
      <c r="P32" s="13">
        <v>447684.14</v>
      </c>
      <c r="Q32" s="222" t="e">
        <v>#VALUE!</v>
      </c>
    </row>
    <row r="33" spans="1:17" x14ac:dyDescent="0.2">
      <c r="A33" s="4" t="s">
        <v>58</v>
      </c>
      <c r="B33" s="13">
        <v>1205115490</v>
      </c>
      <c r="C33" s="13">
        <v>1141604181.98</v>
      </c>
      <c r="D33" s="13">
        <v>63511308.019999981</v>
      </c>
      <c r="E33" s="13">
        <v>23645626.050000001</v>
      </c>
      <c r="F33" s="13">
        <v>22499042</v>
      </c>
      <c r="G33" s="14">
        <v>2.82</v>
      </c>
      <c r="H33" s="14">
        <v>1.05</v>
      </c>
      <c r="I33" s="13">
        <v>1970468.8375000001</v>
      </c>
      <c r="J33" s="15">
        <v>3</v>
      </c>
      <c r="K33" s="13">
        <v>57599901.507499978</v>
      </c>
      <c r="L33" s="13">
        <v>6171074.6733333273</v>
      </c>
      <c r="M33" s="13">
        <v>2421234.3399999938</v>
      </c>
      <c r="N33" s="179">
        <v>43922</v>
      </c>
      <c r="O33" s="16">
        <v>45383</v>
      </c>
      <c r="P33" s="13">
        <v>1877755.19</v>
      </c>
      <c r="Q33" s="222" t="e">
        <v>#VALUE!</v>
      </c>
    </row>
    <row r="34" spans="1:17" x14ac:dyDescent="0.2">
      <c r="A34" s="4" t="s">
        <v>33</v>
      </c>
      <c r="B34" s="13">
        <v>987264872</v>
      </c>
      <c r="C34" s="13">
        <v>921804949.25</v>
      </c>
      <c r="D34" s="13">
        <v>65459922.75</v>
      </c>
      <c r="E34" s="13">
        <v>34448266.549999997</v>
      </c>
      <c r="F34" s="13">
        <v>23383549</v>
      </c>
      <c r="G34" s="14">
        <v>2.8</v>
      </c>
      <c r="H34" s="14">
        <v>1.47</v>
      </c>
      <c r="I34" s="13">
        <v>2870688.8791666664</v>
      </c>
      <c r="J34" s="15">
        <v>3</v>
      </c>
      <c r="K34" s="13">
        <v>56847856.112499997</v>
      </c>
      <c r="L34" s="13">
        <v>6230941.583333333</v>
      </c>
      <c r="M34" s="13" t="s">
        <v>42</v>
      </c>
      <c r="N34" s="179">
        <v>43922</v>
      </c>
      <c r="O34" s="16">
        <v>45383</v>
      </c>
      <c r="P34" s="13">
        <v>3053271.74</v>
      </c>
      <c r="Q34" s="222" t="e">
        <v>#VALUE!</v>
      </c>
    </row>
    <row r="35" spans="1:17" x14ac:dyDescent="0.2">
      <c r="A35" s="4" t="s">
        <v>43</v>
      </c>
      <c r="B35" s="13">
        <v>248558577</v>
      </c>
      <c r="C35" s="13">
        <v>232365006.27000001</v>
      </c>
      <c r="D35" s="13">
        <v>16193570.729999989</v>
      </c>
      <c r="E35" s="13">
        <v>6077557.4299999997</v>
      </c>
      <c r="F35" s="13">
        <v>5790145</v>
      </c>
      <c r="G35" s="14">
        <v>2.8</v>
      </c>
      <c r="H35" s="14">
        <v>1.05</v>
      </c>
      <c r="I35" s="13">
        <v>506463.11916666664</v>
      </c>
      <c r="J35" s="15">
        <v>0</v>
      </c>
      <c r="K35" s="13">
        <v>16193570.729999989</v>
      </c>
      <c r="L35" s="13" t="s">
        <v>20</v>
      </c>
      <c r="M35" s="13" t="s">
        <v>20</v>
      </c>
      <c r="N35" s="179">
        <v>43831</v>
      </c>
      <c r="O35" s="16">
        <v>45292</v>
      </c>
      <c r="P35" s="13">
        <v>0</v>
      </c>
      <c r="Q35" s="222" t="e">
        <v>#VALUE!</v>
      </c>
    </row>
    <row r="36" spans="1:17" x14ac:dyDescent="0.2">
      <c r="A36" s="4" t="s">
        <v>60</v>
      </c>
      <c r="B36" s="13">
        <v>342887810.45999998</v>
      </c>
      <c r="C36" s="13">
        <v>319901344.11000001</v>
      </c>
      <c r="D36" s="13">
        <v>22986466.349999964</v>
      </c>
      <c r="E36" s="13">
        <v>9630258.3900000006</v>
      </c>
      <c r="F36" s="13">
        <v>8236180</v>
      </c>
      <c r="G36" s="14">
        <v>2.79</v>
      </c>
      <c r="H36" s="14">
        <v>1.17</v>
      </c>
      <c r="I36" s="13">
        <v>802521.53250000009</v>
      </c>
      <c r="J36" s="15">
        <v>3</v>
      </c>
      <c r="K36" s="13">
        <v>20578901.752499964</v>
      </c>
      <c r="L36" s="13">
        <v>2171368.7833333216</v>
      </c>
      <c r="M36" s="13" t="s">
        <v>42</v>
      </c>
      <c r="N36" s="179">
        <v>43556</v>
      </c>
      <c r="O36" s="16">
        <v>45383</v>
      </c>
      <c r="P36" s="13">
        <v>855881.43</v>
      </c>
      <c r="Q36" s="222" t="e">
        <v>#VALUE!</v>
      </c>
    </row>
    <row r="37" spans="1:17" x14ac:dyDescent="0.2">
      <c r="A37" s="4" t="s">
        <v>63</v>
      </c>
      <c r="B37" s="13">
        <v>1309738768.5599999</v>
      </c>
      <c r="C37" s="13">
        <v>1227266462.9300001</v>
      </c>
      <c r="D37" s="13">
        <v>82472305.629999876</v>
      </c>
      <c r="E37" s="13">
        <v>26222076.260000002</v>
      </c>
      <c r="F37" s="13">
        <v>30738746</v>
      </c>
      <c r="G37" s="14">
        <v>2.68</v>
      </c>
      <c r="H37" s="14">
        <v>0.85</v>
      </c>
      <c r="I37" s="13">
        <v>2185173.021666667</v>
      </c>
      <c r="J37" s="15">
        <v>6</v>
      </c>
      <c r="K37" s="13">
        <v>69361267.499999881</v>
      </c>
      <c r="L37" s="13">
        <v>3499135.6049999795</v>
      </c>
      <c r="M37" s="13" t="s">
        <v>42</v>
      </c>
      <c r="N37" s="179">
        <v>43647</v>
      </c>
      <c r="O37" s="16">
        <v>45474</v>
      </c>
      <c r="P37" s="13">
        <v>1424006.12</v>
      </c>
      <c r="Q37" s="222" t="e">
        <v>#VALUE!</v>
      </c>
    </row>
    <row r="38" spans="1:17" x14ac:dyDescent="0.2">
      <c r="A38" s="4" t="s">
        <v>46</v>
      </c>
      <c r="B38" s="13">
        <v>306076596.48000002</v>
      </c>
      <c r="C38" s="13">
        <v>285238071.81</v>
      </c>
      <c r="D38" s="13">
        <v>20838524.670000017</v>
      </c>
      <c r="E38" s="13">
        <v>7999661.8899999997</v>
      </c>
      <c r="F38" s="13">
        <v>8165077</v>
      </c>
      <c r="G38" s="14">
        <v>2.5499999999999998</v>
      </c>
      <c r="H38" s="14">
        <v>0.98</v>
      </c>
      <c r="I38" s="13">
        <v>666638.49083333334</v>
      </c>
      <c r="J38" s="15">
        <v>6</v>
      </c>
      <c r="K38" s="13">
        <v>16838693.725000016</v>
      </c>
      <c r="L38" s="13">
        <v>751395.11166666949</v>
      </c>
      <c r="M38" s="13" t="s">
        <v>42</v>
      </c>
      <c r="N38" s="179">
        <v>43647</v>
      </c>
      <c r="O38" s="16">
        <v>45474</v>
      </c>
      <c r="P38" s="13">
        <v>55552.88</v>
      </c>
      <c r="Q38" s="222" t="e">
        <v>#VALUE!</v>
      </c>
    </row>
    <row r="39" spans="1:17" x14ac:dyDescent="0.2">
      <c r="A39" s="4" t="s">
        <v>62</v>
      </c>
      <c r="B39" s="13">
        <v>685388676.61000001</v>
      </c>
      <c r="C39" s="13">
        <v>650868255.87</v>
      </c>
      <c r="D39" s="13">
        <v>34520420.74000001</v>
      </c>
      <c r="E39" s="13">
        <v>14922373.699999999</v>
      </c>
      <c r="F39" s="13">
        <v>13963452</v>
      </c>
      <c r="G39" s="14">
        <v>2.4700000000000002</v>
      </c>
      <c r="H39" s="14">
        <v>1.07</v>
      </c>
      <c r="I39" s="13">
        <v>1243531.1416666666</v>
      </c>
      <c r="J39" s="15">
        <v>3</v>
      </c>
      <c r="K39" s="13">
        <v>30789827.315000009</v>
      </c>
      <c r="L39" s="13">
        <v>2197838.9133333364</v>
      </c>
      <c r="M39" s="13" t="s">
        <v>42</v>
      </c>
      <c r="N39" s="179">
        <v>43922</v>
      </c>
      <c r="O39" s="16">
        <v>45383</v>
      </c>
      <c r="P39" s="13">
        <v>3818722.55</v>
      </c>
      <c r="Q39" s="222" t="e">
        <v>#VALUE!</v>
      </c>
    </row>
    <row r="40" spans="1:17" x14ac:dyDescent="0.2">
      <c r="A40" s="4" t="s">
        <v>66</v>
      </c>
      <c r="B40" s="13">
        <v>1940110596.77</v>
      </c>
      <c r="C40" s="13">
        <v>1832675605.4300001</v>
      </c>
      <c r="D40" s="13">
        <v>107434991.33999991</v>
      </c>
      <c r="E40" s="13">
        <v>44255455.920000002</v>
      </c>
      <c r="F40" s="13">
        <v>45492764</v>
      </c>
      <c r="G40" s="14">
        <v>2.36</v>
      </c>
      <c r="H40" s="14">
        <v>0.97</v>
      </c>
      <c r="I40" s="13">
        <v>3687954.66</v>
      </c>
      <c r="J40" s="15">
        <v>6</v>
      </c>
      <c r="K40" s="13">
        <v>85307263.379999906</v>
      </c>
      <c r="L40" s="13" t="s">
        <v>42</v>
      </c>
      <c r="M40" s="13" t="s">
        <v>42</v>
      </c>
      <c r="N40" s="179">
        <v>43647</v>
      </c>
      <c r="O40" s="16">
        <v>45474</v>
      </c>
      <c r="P40" s="13">
        <v>3670687.37</v>
      </c>
      <c r="Q40" s="222" t="e">
        <v>#VALUE!</v>
      </c>
    </row>
    <row r="41" spans="1:17" x14ac:dyDescent="0.2">
      <c r="A41" s="4" t="s">
        <v>51</v>
      </c>
      <c r="B41" s="13">
        <v>1035563531</v>
      </c>
      <c r="C41" s="13">
        <v>977714304.63</v>
      </c>
      <c r="D41" s="13">
        <v>57849226.370000005</v>
      </c>
      <c r="E41" s="13">
        <v>17671581.100000001</v>
      </c>
      <c r="F41" s="13">
        <v>24645105</v>
      </c>
      <c r="G41" s="14">
        <v>2.35</v>
      </c>
      <c r="H41" s="14">
        <v>0.72</v>
      </c>
      <c r="I41" s="13">
        <v>1472631.7583333335</v>
      </c>
      <c r="J41" s="15">
        <v>0</v>
      </c>
      <c r="K41" s="13">
        <v>57849226.370000005</v>
      </c>
      <c r="L41" s="13" t="s">
        <v>20</v>
      </c>
      <c r="M41" s="13" t="s">
        <v>42</v>
      </c>
      <c r="N41" s="179">
        <v>43831</v>
      </c>
      <c r="O41" s="16">
        <v>45292</v>
      </c>
      <c r="P41" s="13">
        <v>895741.09</v>
      </c>
      <c r="Q41" s="222" t="e">
        <v>#VALUE!</v>
      </c>
    </row>
    <row r="42" spans="1:17" x14ac:dyDescent="0.2">
      <c r="A42" s="4" t="s">
        <v>68</v>
      </c>
      <c r="B42" s="13">
        <v>497245980</v>
      </c>
      <c r="C42" s="13">
        <v>469975227.76999998</v>
      </c>
      <c r="D42" s="13">
        <v>27270752.230000019</v>
      </c>
      <c r="E42" s="13">
        <v>11175543.970000001</v>
      </c>
      <c r="F42" s="13">
        <v>11808636</v>
      </c>
      <c r="G42" s="14">
        <v>2.31</v>
      </c>
      <c r="H42" s="14">
        <v>0.95</v>
      </c>
      <c r="I42" s="13">
        <v>931295.33083333343</v>
      </c>
      <c r="J42" s="15">
        <v>0</v>
      </c>
      <c r="K42" s="13">
        <v>27270752.230000019</v>
      </c>
      <c r="L42" s="13" t="s">
        <v>20</v>
      </c>
      <c r="M42" s="13" t="s">
        <v>42</v>
      </c>
      <c r="N42" s="179">
        <v>43831</v>
      </c>
      <c r="O42" s="16">
        <v>45292</v>
      </c>
      <c r="P42" s="13">
        <v>507241.2</v>
      </c>
      <c r="Q42" s="222" t="e">
        <v>#VALUE!</v>
      </c>
    </row>
    <row r="43" spans="1:17" x14ac:dyDescent="0.2">
      <c r="A43" s="4" t="s">
        <v>49</v>
      </c>
      <c r="B43" s="13">
        <v>1215383392.1700001</v>
      </c>
      <c r="C43" s="13">
        <v>1159422093.6800001</v>
      </c>
      <c r="D43" s="13">
        <v>55961298.49000001</v>
      </c>
      <c r="E43" s="13">
        <v>18576524.100000001</v>
      </c>
      <c r="F43" s="13">
        <v>24335266</v>
      </c>
      <c r="G43" s="14">
        <v>2.2999999999999998</v>
      </c>
      <c r="H43" s="14">
        <v>0.76</v>
      </c>
      <c r="I43" s="13">
        <v>1548043.675</v>
      </c>
      <c r="J43" s="15">
        <v>6</v>
      </c>
      <c r="K43" s="13">
        <v>46673036.440000013</v>
      </c>
      <c r="L43" s="13" t="s">
        <v>42</v>
      </c>
      <c r="M43" s="13" t="s">
        <v>42</v>
      </c>
      <c r="N43" s="179">
        <v>43647</v>
      </c>
      <c r="O43" s="16">
        <v>45474</v>
      </c>
      <c r="P43" s="13">
        <v>1879948.86</v>
      </c>
      <c r="Q43" s="222" t="e">
        <v>#VALUE!</v>
      </c>
    </row>
    <row r="44" spans="1:17" x14ac:dyDescent="0.2">
      <c r="A44" s="4" t="s">
        <v>67</v>
      </c>
      <c r="B44" s="13">
        <v>1082941284</v>
      </c>
      <c r="C44" s="13">
        <v>1020491327.88</v>
      </c>
      <c r="D44" s="13">
        <v>62449956.120000005</v>
      </c>
      <c r="E44" s="13">
        <v>32372206.949999999</v>
      </c>
      <c r="F44" s="13">
        <v>27168342</v>
      </c>
      <c r="G44" s="14">
        <v>2.2999999999999998</v>
      </c>
      <c r="H44" s="14">
        <v>1.19</v>
      </c>
      <c r="I44" s="13">
        <v>2697683.9125000001</v>
      </c>
      <c r="J44" s="15">
        <v>3</v>
      </c>
      <c r="K44" s="13">
        <v>54356904.382500008</v>
      </c>
      <c r="L44" s="13">
        <v>2704424.0400000014</v>
      </c>
      <c r="M44" s="13" t="s">
        <v>42</v>
      </c>
      <c r="N44" s="179">
        <v>43922</v>
      </c>
      <c r="O44" s="16">
        <v>45383</v>
      </c>
      <c r="P44" s="13">
        <v>3889532.19</v>
      </c>
      <c r="Q44" s="222" t="e">
        <v>#VALUE!</v>
      </c>
    </row>
    <row r="45" spans="1:17" x14ac:dyDescent="0.2">
      <c r="A45" s="4" t="s">
        <v>50</v>
      </c>
      <c r="B45" s="13">
        <v>1601312682.0699999</v>
      </c>
      <c r="C45" s="13">
        <v>1506560653</v>
      </c>
      <c r="D45" s="13">
        <v>94752029.069999933</v>
      </c>
      <c r="E45" s="13">
        <v>37988596.630000003</v>
      </c>
      <c r="F45" s="13">
        <v>41389514</v>
      </c>
      <c r="G45" s="14">
        <v>2.29</v>
      </c>
      <c r="H45" s="14">
        <v>0.92</v>
      </c>
      <c r="I45" s="13">
        <v>3165716.3858333337</v>
      </c>
      <c r="J45" s="15">
        <v>6</v>
      </c>
      <c r="K45" s="13">
        <v>75757730.754999936</v>
      </c>
      <c r="L45" s="13" t="s">
        <v>42</v>
      </c>
      <c r="M45" s="13" t="s">
        <v>42</v>
      </c>
      <c r="N45" s="179">
        <v>43647</v>
      </c>
      <c r="O45" s="16">
        <v>45474</v>
      </c>
      <c r="P45" s="13">
        <v>1840872.81</v>
      </c>
      <c r="Q45" s="222" t="e">
        <v>#VALUE!</v>
      </c>
    </row>
    <row r="46" spans="1:17" x14ac:dyDescent="0.2">
      <c r="A46" s="4" t="s">
        <v>55</v>
      </c>
      <c r="B46" s="13">
        <v>660266370</v>
      </c>
      <c r="C46" s="13">
        <v>628718117.55999994</v>
      </c>
      <c r="D46" s="13">
        <v>31548252.440000057</v>
      </c>
      <c r="E46" s="13">
        <v>11371686.43</v>
      </c>
      <c r="F46" s="13">
        <v>14821600</v>
      </c>
      <c r="G46" s="14">
        <v>2.13</v>
      </c>
      <c r="H46" s="14">
        <v>0.77</v>
      </c>
      <c r="I46" s="13">
        <v>947640.53583333327</v>
      </c>
      <c r="J46" s="15">
        <v>0</v>
      </c>
      <c r="K46" s="13">
        <v>31548252.440000057</v>
      </c>
      <c r="L46" s="13" t="s">
        <v>20</v>
      </c>
      <c r="M46" s="13" t="s">
        <v>42</v>
      </c>
      <c r="N46" s="179">
        <v>43466</v>
      </c>
      <c r="O46" s="16">
        <v>45292</v>
      </c>
      <c r="P46" s="13">
        <v>719162.62</v>
      </c>
      <c r="Q46" s="222" t="e">
        <v>#VALUE!</v>
      </c>
    </row>
    <row r="47" spans="1:17" x14ac:dyDescent="0.2">
      <c r="A47" s="4" t="s">
        <v>69</v>
      </c>
      <c r="B47" s="13">
        <v>238203233</v>
      </c>
      <c r="C47" s="13">
        <v>226765018.78</v>
      </c>
      <c r="D47" s="13">
        <v>11438214.219999999</v>
      </c>
      <c r="E47" s="13">
        <v>5589616.0199999996</v>
      </c>
      <c r="F47" s="13">
        <v>5501208</v>
      </c>
      <c r="G47" s="14">
        <v>2.08</v>
      </c>
      <c r="H47" s="14">
        <v>1.02</v>
      </c>
      <c r="I47" s="13">
        <v>465801.33499999996</v>
      </c>
      <c r="J47" s="15">
        <v>6</v>
      </c>
      <c r="K47" s="13">
        <v>8643406.209999999</v>
      </c>
      <c r="L47" s="13" t="s">
        <v>42</v>
      </c>
      <c r="M47" s="13" t="s">
        <v>42</v>
      </c>
      <c r="N47" s="179">
        <v>43647</v>
      </c>
      <c r="O47" s="16">
        <v>45474</v>
      </c>
      <c r="P47" s="13">
        <v>317220.89</v>
      </c>
      <c r="Q47" s="222" t="e">
        <v>#VALUE!</v>
      </c>
    </row>
    <row r="48" spans="1:17" x14ac:dyDescent="0.2">
      <c r="A48" s="4" t="s">
        <v>61</v>
      </c>
      <c r="B48" s="13">
        <v>1062416247.5</v>
      </c>
      <c r="C48" s="13">
        <v>1020058880.74</v>
      </c>
      <c r="D48" s="13">
        <v>42357366.75999999</v>
      </c>
      <c r="E48" s="13">
        <v>23160194.219999999</v>
      </c>
      <c r="F48" s="13">
        <v>23271036</v>
      </c>
      <c r="G48" s="14">
        <v>1.82</v>
      </c>
      <c r="H48" s="14">
        <v>1</v>
      </c>
      <c r="I48" s="13">
        <v>1930016.1849999998</v>
      </c>
      <c r="J48" s="15">
        <v>3</v>
      </c>
      <c r="K48" s="13">
        <v>36567318.204999991</v>
      </c>
      <c r="L48" s="13" t="s">
        <v>42</v>
      </c>
      <c r="M48" s="13" t="s">
        <v>42</v>
      </c>
      <c r="N48" s="179">
        <v>43556</v>
      </c>
      <c r="O48" s="16">
        <v>45383</v>
      </c>
      <c r="P48" s="13">
        <v>2991842.17</v>
      </c>
      <c r="Q48" s="222" t="e">
        <v>#VALUE!</v>
      </c>
    </row>
    <row r="49" spans="1:17" x14ac:dyDescent="0.2">
      <c r="A49" s="4" t="s">
        <v>59</v>
      </c>
      <c r="B49" s="13">
        <v>270139589</v>
      </c>
      <c r="C49" s="13">
        <v>257069212.09</v>
      </c>
      <c r="D49" s="13">
        <v>13070376.909999996</v>
      </c>
      <c r="E49" s="13">
        <v>7279574.0700000003</v>
      </c>
      <c r="F49" s="13">
        <v>7334647</v>
      </c>
      <c r="G49" s="14">
        <v>1.78</v>
      </c>
      <c r="H49" s="14">
        <v>0.99</v>
      </c>
      <c r="I49" s="13">
        <v>606631.17249999999</v>
      </c>
      <c r="J49" s="15">
        <v>6</v>
      </c>
      <c r="K49" s="13">
        <v>9430589.8749999963</v>
      </c>
      <c r="L49" s="13" t="s">
        <v>42</v>
      </c>
      <c r="M49" s="13" t="s">
        <v>42</v>
      </c>
      <c r="N49" s="179">
        <v>43647</v>
      </c>
      <c r="O49" s="16">
        <v>45474</v>
      </c>
      <c r="P49" s="13">
        <v>1022075.61</v>
      </c>
      <c r="Q49" s="222" t="e">
        <v>#VALUE!</v>
      </c>
    </row>
    <row r="50" spans="1:17" x14ac:dyDescent="0.2">
      <c r="A50" s="4" t="s">
        <v>57</v>
      </c>
      <c r="B50" s="13">
        <v>95802497</v>
      </c>
      <c r="C50" s="13">
        <v>91268021.930000007</v>
      </c>
      <c r="D50" s="13">
        <v>4534475.0699999928</v>
      </c>
      <c r="E50" s="13">
        <v>4463726.41</v>
      </c>
      <c r="F50" s="13">
        <v>2895399</v>
      </c>
      <c r="G50" s="14">
        <v>1.57</v>
      </c>
      <c r="H50" s="14">
        <v>1.54</v>
      </c>
      <c r="I50" s="13">
        <v>371977.20083333337</v>
      </c>
      <c r="J50" s="15">
        <v>6</v>
      </c>
      <c r="K50" s="13">
        <v>2302611.8649999928</v>
      </c>
      <c r="L50" s="13" t="s">
        <v>42</v>
      </c>
      <c r="M50" s="13" t="s">
        <v>42</v>
      </c>
      <c r="N50" s="179">
        <v>43647</v>
      </c>
      <c r="O50" s="16">
        <v>45474</v>
      </c>
      <c r="P50" s="13">
        <v>1451353.03</v>
      </c>
      <c r="Q50" s="222" t="e">
        <v>#VALUE!</v>
      </c>
    </row>
    <row r="51" spans="1:17" x14ac:dyDescent="0.2">
      <c r="A51" s="4" t="s">
        <v>65</v>
      </c>
      <c r="B51" s="13">
        <v>379033306</v>
      </c>
      <c r="C51" s="13">
        <v>365422487.64999998</v>
      </c>
      <c r="D51" s="13">
        <v>13610818.350000024</v>
      </c>
      <c r="E51" s="13">
        <v>9752448.6600000001</v>
      </c>
      <c r="F51" s="13">
        <v>9905563</v>
      </c>
      <c r="G51" s="14">
        <v>1.37</v>
      </c>
      <c r="H51" s="14">
        <v>0.98</v>
      </c>
      <c r="I51" s="13">
        <v>812704.05500000005</v>
      </c>
      <c r="J51" s="15">
        <v>6</v>
      </c>
      <c r="K51" s="13">
        <v>8734594.0200000238</v>
      </c>
      <c r="L51" s="13" t="s">
        <v>42</v>
      </c>
      <c r="M51" s="13" t="s">
        <v>42</v>
      </c>
      <c r="N51" s="179">
        <v>43647</v>
      </c>
      <c r="O51" s="16">
        <v>45474</v>
      </c>
      <c r="P51" s="13">
        <v>891307.92</v>
      </c>
      <c r="Q51" s="222" t="e">
        <v>#VALUE!</v>
      </c>
    </row>
    <row r="52" spans="1:17" x14ac:dyDescent="0.2">
      <c r="A52" s="4" t="s">
        <v>70</v>
      </c>
      <c r="B52" s="13">
        <v>72717998</v>
      </c>
      <c r="C52" s="13">
        <v>71117770.939999998</v>
      </c>
      <c r="D52" s="18">
        <v>1600227.0600000024</v>
      </c>
      <c r="E52" s="13">
        <v>2465326.2400000002</v>
      </c>
      <c r="F52" s="13">
        <v>2684959</v>
      </c>
      <c r="G52" s="14">
        <v>0.6</v>
      </c>
      <c r="H52" s="14">
        <v>0.92</v>
      </c>
      <c r="I52" s="18">
        <v>205443.85333333336</v>
      </c>
      <c r="J52" s="15">
        <v>6</v>
      </c>
      <c r="K52" s="18">
        <v>367563.94000000227</v>
      </c>
      <c r="L52" s="18" t="s">
        <v>42</v>
      </c>
      <c r="M52" s="18" t="s">
        <v>42</v>
      </c>
      <c r="N52" s="180">
        <v>43647</v>
      </c>
      <c r="O52" s="16">
        <v>45474</v>
      </c>
      <c r="P52" s="13">
        <v>138414.73000000001</v>
      </c>
      <c r="Q52" s="222" t="e">
        <v>#VALUE!</v>
      </c>
    </row>
    <row r="53" spans="1:17" x14ac:dyDescent="0.25">
      <c r="A53" s="34" t="s">
        <v>71</v>
      </c>
      <c r="B53" s="31">
        <v>42781318773.709999</v>
      </c>
      <c r="C53" s="13">
        <v>39439232569.449997</v>
      </c>
      <c r="D53" s="31">
        <v>3342086204.2600021</v>
      </c>
      <c r="E53" s="13">
        <v>918387908.51999998</v>
      </c>
      <c r="F53" s="13">
        <v>986046835</v>
      </c>
      <c r="G53" s="14">
        <v>3.39</v>
      </c>
      <c r="H53" s="14">
        <v>0.93</v>
      </c>
      <c r="I53" s="31">
        <v>76532325.709999993</v>
      </c>
      <c r="J53" s="32"/>
      <c r="K53" s="33"/>
      <c r="L53" s="33"/>
      <c r="M53" s="33"/>
      <c r="N53" s="33"/>
      <c r="O53" s="33"/>
      <c r="P53" s="31">
        <v>85029933.640000001</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36</v>
      </c>
      <c r="H56" s="25"/>
    </row>
    <row r="57" spans="1:17" ht="27" customHeight="1" thickBot="1" x14ac:dyDescent="0.3">
      <c r="D57" s="228" t="s">
        <v>73</v>
      </c>
      <c r="E57" s="229"/>
      <c r="F57" s="229"/>
      <c r="G57" s="27"/>
      <c r="H57" s="28">
        <v>31</v>
      </c>
    </row>
  </sheetData>
  <mergeCells count="2">
    <mergeCell ref="D56:F56"/>
    <mergeCell ref="D57:F57"/>
  </mergeCells>
  <conditionalFormatting sqref="G54">
    <cfRule type="cellIs" dxfId="335" priority="13" stopIfTrue="1" operator="greaterThan">
      <formula>2.5</formula>
    </cfRule>
    <cfRule type="cellIs" dxfId="334" priority="14" stopIfTrue="1" operator="between">
      <formula>2.01</formula>
      <formula>2.5</formula>
    </cfRule>
  </conditionalFormatting>
  <conditionalFormatting sqref="H3:H53">
    <cfRule type="cellIs" dxfId="333" priority="12" stopIfTrue="1" operator="lessThan">
      <formula>1</formula>
    </cfRule>
  </conditionalFormatting>
  <conditionalFormatting sqref="G3:G53">
    <cfRule type="cellIs" dxfId="332" priority="10" stopIfTrue="1" operator="greaterThan">
      <formula>2.5</formula>
    </cfRule>
    <cfRule type="cellIs" dxfId="331" priority="11" stopIfTrue="1" operator="between">
      <formula>2.01</formula>
      <formula>2.5</formula>
    </cfRule>
  </conditionalFormatting>
  <conditionalFormatting sqref="K3:K52">
    <cfRule type="cellIs" dxfId="330" priority="8" stopIfTrue="1" operator="greaterThan">
      <formula>$F3*2.5</formula>
    </cfRule>
    <cfRule type="cellIs" dxfId="329" priority="9" stopIfTrue="1" operator="between">
      <formula>$F3*2</formula>
      <formula>$F3*2.5</formula>
    </cfRule>
  </conditionalFormatting>
  <conditionalFormatting sqref="G54">
    <cfRule type="cellIs" dxfId="328" priority="6" stopIfTrue="1" operator="greaterThan">
      <formula>2.5</formula>
    </cfRule>
    <cfRule type="cellIs" dxfId="327" priority="7" stopIfTrue="1" operator="between">
      <formula>2.01</formula>
      <formula>2.5</formula>
    </cfRule>
  </conditionalFormatting>
  <conditionalFormatting sqref="H3:H53">
    <cfRule type="cellIs" dxfId="326" priority="5" stopIfTrue="1" operator="lessThan">
      <formula>1</formula>
    </cfRule>
  </conditionalFormatting>
  <conditionalFormatting sqref="G3:G53">
    <cfRule type="cellIs" dxfId="325" priority="3" stopIfTrue="1" operator="greaterThan">
      <formula>2.5</formula>
    </cfRule>
    <cfRule type="cellIs" dxfId="324" priority="4" stopIfTrue="1" operator="between">
      <formula>2.01</formula>
      <formula>2.5</formula>
    </cfRule>
  </conditionalFormatting>
  <conditionalFormatting sqref="K3:K52">
    <cfRule type="cellIs" dxfId="323" priority="1" stopIfTrue="1" operator="greaterThan">
      <formula>$F3*2.5</formula>
    </cfRule>
    <cfRule type="cellIs" dxfId="322"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50BC-9232-4C53-B350-E45F88A226F6}">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P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2.81640625" style="17" hidden="1" customWidth="1"/>
    <col min="18" max="16384" width="9.1796875" style="17"/>
  </cols>
  <sheetData>
    <row r="1" spans="1:17" s="8" customFormat="1" ht="18" x14ac:dyDescent="0.25">
      <c r="A1" s="4" t="s">
        <v>86</v>
      </c>
      <c r="B1" s="178" t="s">
        <v>87</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21</v>
      </c>
      <c r="B3" s="13">
        <v>1788595890.3599999</v>
      </c>
      <c r="C3" s="13">
        <v>1527592853.6700001</v>
      </c>
      <c r="D3" s="13">
        <v>261003036.68999982</v>
      </c>
      <c r="E3" s="13">
        <v>32489873.879999999</v>
      </c>
      <c r="F3" s="13">
        <v>46272979</v>
      </c>
      <c r="G3" s="14">
        <v>5.64</v>
      </c>
      <c r="H3" s="14">
        <v>0.7</v>
      </c>
      <c r="I3" s="13">
        <v>2707489.4899999998</v>
      </c>
      <c r="J3" s="15">
        <v>-1</v>
      </c>
      <c r="K3" s="13" t="s">
        <v>20</v>
      </c>
      <c r="L3" s="13" t="s">
        <v>20</v>
      </c>
      <c r="M3" s="13" t="s">
        <v>20</v>
      </c>
      <c r="N3" s="179">
        <v>43831</v>
      </c>
      <c r="O3" s="16">
        <v>45292</v>
      </c>
      <c r="P3" s="13">
        <v>2283189.2200000002</v>
      </c>
      <c r="Q3" s="223" t="e">
        <v>#VALUE!</v>
      </c>
    </row>
    <row r="4" spans="1:17" x14ac:dyDescent="0.2">
      <c r="A4" s="4" t="s">
        <v>22</v>
      </c>
      <c r="B4" s="13">
        <v>708696383.32000005</v>
      </c>
      <c r="C4" s="13">
        <v>630751944.94000006</v>
      </c>
      <c r="D4" s="13">
        <v>77944438.379999995</v>
      </c>
      <c r="E4" s="13">
        <v>11886993.640000001</v>
      </c>
      <c r="F4" s="13">
        <v>13833071</v>
      </c>
      <c r="G4" s="14">
        <v>5.63</v>
      </c>
      <c r="H4" s="14">
        <v>0.86</v>
      </c>
      <c r="I4" s="13">
        <v>990582.80333333334</v>
      </c>
      <c r="J4" s="15">
        <v>5</v>
      </c>
      <c r="K4" s="13">
        <v>72991524.36333333</v>
      </c>
      <c r="L4" s="13">
        <v>10055659.275999999</v>
      </c>
      <c r="M4" s="13">
        <v>8672352.175999999</v>
      </c>
      <c r="N4" s="179">
        <v>43647</v>
      </c>
      <c r="O4" s="16">
        <v>45474</v>
      </c>
      <c r="P4" s="13">
        <v>326626.56</v>
      </c>
      <c r="Q4" s="222" t="e">
        <v>#VALUE!</v>
      </c>
    </row>
    <row r="5" spans="1:17" x14ac:dyDescent="0.2">
      <c r="A5" s="4" t="s">
        <v>23</v>
      </c>
      <c r="B5" s="13">
        <v>1336273473.74</v>
      </c>
      <c r="C5" s="13">
        <v>1181208176.3199999</v>
      </c>
      <c r="D5" s="13">
        <v>155065297.42000008</v>
      </c>
      <c r="E5" s="13">
        <v>15932480.07</v>
      </c>
      <c r="F5" s="13">
        <v>29074134</v>
      </c>
      <c r="G5" s="14">
        <v>5.33</v>
      </c>
      <c r="H5" s="14">
        <v>0.55000000000000004</v>
      </c>
      <c r="I5" s="13">
        <v>1327706.6725000001</v>
      </c>
      <c r="J5" s="15">
        <v>-1</v>
      </c>
      <c r="K5" s="13" t="s">
        <v>20</v>
      </c>
      <c r="L5" s="13" t="s">
        <v>20</v>
      </c>
      <c r="M5" s="13" t="s">
        <v>20</v>
      </c>
      <c r="N5" s="179">
        <v>43831</v>
      </c>
      <c r="O5" s="16">
        <v>45292</v>
      </c>
      <c r="P5" s="13">
        <v>2001552.96</v>
      </c>
      <c r="Q5" s="222" t="e">
        <v>#VALUE!</v>
      </c>
    </row>
    <row r="6" spans="1:17" x14ac:dyDescent="0.2">
      <c r="A6" s="4" t="s">
        <v>24</v>
      </c>
      <c r="B6" s="13">
        <v>1469242870.97</v>
      </c>
      <c r="C6" s="13">
        <v>1292814268.3800001</v>
      </c>
      <c r="D6" s="13">
        <v>176428602.58999991</v>
      </c>
      <c r="E6" s="13">
        <v>25581179.109999999</v>
      </c>
      <c r="F6" s="13">
        <v>33073641</v>
      </c>
      <c r="G6" s="14">
        <v>5.33</v>
      </c>
      <c r="H6" s="14">
        <v>0.77</v>
      </c>
      <c r="I6" s="13">
        <v>2131764.9258333333</v>
      </c>
      <c r="J6" s="15">
        <v>5</v>
      </c>
      <c r="K6" s="13">
        <v>165769777.96083325</v>
      </c>
      <c r="L6" s="13">
        <v>22056264.117999982</v>
      </c>
      <c r="M6" s="13">
        <v>18748900.017999984</v>
      </c>
      <c r="N6" s="179">
        <v>43647</v>
      </c>
      <c r="O6" s="16">
        <v>45474</v>
      </c>
      <c r="P6" s="13">
        <v>0</v>
      </c>
      <c r="Q6" s="222" t="e">
        <v>#VALUE!</v>
      </c>
    </row>
    <row r="7" spans="1:17" x14ac:dyDescent="0.2">
      <c r="A7" s="4" t="s">
        <v>19</v>
      </c>
      <c r="B7" s="13">
        <v>1115197398.45</v>
      </c>
      <c r="C7" s="13">
        <v>981956969.95000005</v>
      </c>
      <c r="D7" s="13">
        <v>133240428.5</v>
      </c>
      <c r="E7" s="13">
        <v>11640638.189999999</v>
      </c>
      <c r="F7" s="13">
        <v>26165562</v>
      </c>
      <c r="G7" s="14">
        <v>5.09</v>
      </c>
      <c r="H7" s="14">
        <v>0.44</v>
      </c>
      <c r="I7" s="13">
        <v>970053.1825</v>
      </c>
      <c r="J7" s="15">
        <v>5</v>
      </c>
      <c r="K7" s="13">
        <v>128390162.58750001</v>
      </c>
      <c r="L7" s="13">
        <v>16181860.9</v>
      </c>
      <c r="M7" s="13">
        <v>13565304.699999999</v>
      </c>
      <c r="N7" s="179">
        <v>43647</v>
      </c>
      <c r="O7" s="16">
        <v>45474</v>
      </c>
      <c r="P7" s="13">
        <v>514130.6</v>
      </c>
      <c r="Q7" s="222" t="e">
        <v>#VALUE!</v>
      </c>
    </row>
    <row r="8" spans="1:17" x14ac:dyDescent="0.2">
      <c r="A8" s="4" t="s">
        <v>40</v>
      </c>
      <c r="B8" s="13">
        <v>203184695.25999999</v>
      </c>
      <c r="C8" s="13">
        <v>175830429.72</v>
      </c>
      <c r="D8" s="13">
        <v>27354265.539999992</v>
      </c>
      <c r="E8" s="13">
        <v>3549033.68</v>
      </c>
      <c r="F8" s="13">
        <v>5655134</v>
      </c>
      <c r="G8" s="14">
        <v>4.84</v>
      </c>
      <c r="H8" s="14">
        <v>0.63</v>
      </c>
      <c r="I8" s="13">
        <v>295752.8066666667</v>
      </c>
      <c r="J8" s="15">
        <v>5</v>
      </c>
      <c r="K8" s="13">
        <v>25875501.506666657</v>
      </c>
      <c r="L8" s="13">
        <v>3208799.5079999985</v>
      </c>
      <c r="M8" s="13">
        <v>2643286.1079999981</v>
      </c>
      <c r="N8" s="179">
        <v>43647</v>
      </c>
      <c r="O8" s="16">
        <v>45474</v>
      </c>
      <c r="P8" s="13">
        <v>6850</v>
      </c>
      <c r="Q8" s="222" t="e">
        <v>#VALUE!</v>
      </c>
    </row>
    <row r="9" spans="1:17" x14ac:dyDescent="0.2">
      <c r="A9" s="4" t="s">
        <v>26</v>
      </c>
      <c r="B9" s="13">
        <v>120899760.39</v>
      </c>
      <c r="C9" s="13">
        <v>104324473.55</v>
      </c>
      <c r="D9" s="13">
        <v>16575286.840000004</v>
      </c>
      <c r="E9" s="13">
        <v>1714342.8</v>
      </c>
      <c r="F9" s="13">
        <v>3521015</v>
      </c>
      <c r="G9" s="14">
        <v>4.71</v>
      </c>
      <c r="H9" s="14">
        <v>0.49</v>
      </c>
      <c r="I9" s="13">
        <v>142861.9</v>
      </c>
      <c r="J9" s="15">
        <v>-1</v>
      </c>
      <c r="K9" s="13" t="s">
        <v>20</v>
      </c>
      <c r="L9" s="13" t="s">
        <v>20</v>
      </c>
      <c r="M9" s="13" t="s">
        <v>20</v>
      </c>
      <c r="N9" s="179">
        <v>43831</v>
      </c>
      <c r="O9" s="16">
        <v>45292</v>
      </c>
      <c r="P9" s="13">
        <v>18227.91</v>
      </c>
      <c r="Q9" s="222" t="e">
        <v>#VALUE!</v>
      </c>
    </row>
    <row r="10" spans="1:17" x14ac:dyDescent="0.2">
      <c r="A10" s="4" t="s">
        <v>25</v>
      </c>
      <c r="B10" s="13">
        <v>265120500</v>
      </c>
      <c r="C10" s="13">
        <v>236810389.44999999</v>
      </c>
      <c r="D10" s="13">
        <v>28310110.550000012</v>
      </c>
      <c r="E10" s="13">
        <v>7683445.0499999998</v>
      </c>
      <c r="F10" s="13">
        <v>6172506</v>
      </c>
      <c r="G10" s="14">
        <v>4.59</v>
      </c>
      <c r="H10" s="14">
        <v>1.24</v>
      </c>
      <c r="I10" s="13">
        <v>640287.08750000002</v>
      </c>
      <c r="J10" s="15">
        <v>2</v>
      </c>
      <c r="K10" s="13">
        <v>27029536.375000011</v>
      </c>
      <c r="L10" s="13">
        <v>7982549.275000006</v>
      </c>
      <c r="M10" s="13">
        <v>6439422.775000006</v>
      </c>
      <c r="N10" s="179">
        <v>43922</v>
      </c>
      <c r="O10" s="16">
        <v>45383</v>
      </c>
      <c r="P10" s="13">
        <v>1008066.42</v>
      </c>
      <c r="Q10" s="222" t="e">
        <v>#VALUE!</v>
      </c>
    </row>
    <row r="11" spans="1:17" x14ac:dyDescent="0.2">
      <c r="A11" s="4" t="s">
        <v>31</v>
      </c>
      <c r="B11" s="13">
        <v>493558716</v>
      </c>
      <c r="C11" s="13">
        <v>443751468.38</v>
      </c>
      <c r="D11" s="13">
        <v>49807247.620000005</v>
      </c>
      <c r="E11" s="13">
        <v>7067870.9299999997</v>
      </c>
      <c r="F11" s="13">
        <v>11038481</v>
      </c>
      <c r="G11" s="14">
        <v>4.51</v>
      </c>
      <c r="H11" s="14">
        <v>0.64</v>
      </c>
      <c r="I11" s="13">
        <v>588989.24416666664</v>
      </c>
      <c r="J11" s="15">
        <v>-1</v>
      </c>
      <c r="K11" s="13" t="s">
        <v>20</v>
      </c>
      <c r="L11" s="13" t="s">
        <v>20</v>
      </c>
      <c r="M11" s="13" t="s">
        <v>20</v>
      </c>
      <c r="N11" s="179">
        <v>43831</v>
      </c>
      <c r="O11" s="16">
        <v>45292</v>
      </c>
      <c r="P11" s="13">
        <v>0</v>
      </c>
      <c r="Q11" s="222" t="e">
        <v>#VALUE!</v>
      </c>
    </row>
    <row r="12" spans="1:17" x14ac:dyDescent="0.2">
      <c r="A12" s="4" t="s">
        <v>37</v>
      </c>
      <c r="B12" s="13">
        <v>187480557</v>
      </c>
      <c r="C12" s="13">
        <v>171790081.40000001</v>
      </c>
      <c r="D12" s="13">
        <v>15690475.599999994</v>
      </c>
      <c r="E12" s="13">
        <v>2593395.4500000002</v>
      </c>
      <c r="F12" s="13">
        <v>3515583</v>
      </c>
      <c r="G12" s="14">
        <v>4.46</v>
      </c>
      <c r="H12" s="14">
        <v>0.74</v>
      </c>
      <c r="I12" s="13">
        <v>216116.28750000001</v>
      </c>
      <c r="J12" s="15">
        <v>5</v>
      </c>
      <c r="K12" s="13">
        <v>14609894.162499994</v>
      </c>
      <c r="L12" s="13">
        <v>1731861.9199999988</v>
      </c>
      <c r="M12" s="13">
        <v>1380303.6199999987</v>
      </c>
      <c r="N12" s="179">
        <v>43647</v>
      </c>
      <c r="O12" s="16">
        <v>45474</v>
      </c>
      <c r="P12" s="13">
        <v>0</v>
      </c>
      <c r="Q12" s="222" t="e">
        <v>#VALUE!</v>
      </c>
    </row>
    <row r="13" spans="1:17" x14ac:dyDescent="0.2">
      <c r="A13" s="4" t="s">
        <v>28</v>
      </c>
      <c r="B13" s="13">
        <v>1945106991</v>
      </c>
      <c r="C13" s="13">
        <v>1849230098</v>
      </c>
      <c r="D13" s="13">
        <v>95876893</v>
      </c>
      <c r="E13" s="13">
        <v>21667467.559999999</v>
      </c>
      <c r="F13" s="13">
        <v>22131554</v>
      </c>
      <c r="G13" s="14">
        <v>4.33</v>
      </c>
      <c r="H13" s="14">
        <v>0.98</v>
      </c>
      <c r="I13" s="13">
        <v>1805622.2966666666</v>
      </c>
      <c r="J13" s="15">
        <v>5</v>
      </c>
      <c r="K13" s="13">
        <v>86848781.516666666</v>
      </c>
      <c r="L13" s="13">
        <v>10322757</v>
      </c>
      <c r="M13" s="13">
        <v>8109601.5999999996</v>
      </c>
      <c r="N13" s="179">
        <v>43647</v>
      </c>
      <c r="O13" s="16">
        <v>45474</v>
      </c>
      <c r="P13" s="13">
        <v>1567381.19</v>
      </c>
      <c r="Q13" s="222" t="e">
        <v>#VALUE!</v>
      </c>
    </row>
    <row r="14" spans="1:17" x14ac:dyDescent="0.2">
      <c r="A14" s="4" t="s">
        <v>27</v>
      </c>
      <c r="B14" s="13">
        <v>853256279</v>
      </c>
      <c r="C14" s="13">
        <v>772086328.33000004</v>
      </c>
      <c r="D14" s="13">
        <v>81169950.669999957</v>
      </c>
      <c r="E14" s="13">
        <v>18022464.850000001</v>
      </c>
      <c r="F14" s="13">
        <v>18836467</v>
      </c>
      <c r="G14" s="14">
        <v>4.3099999999999996</v>
      </c>
      <c r="H14" s="14">
        <v>0.96</v>
      </c>
      <c r="I14" s="13">
        <v>1501872.0708333335</v>
      </c>
      <c r="J14" s="15">
        <v>8</v>
      </c>
      <c r="K14" s="13">
        <v>69154974.103333294</v>
      </c>
      <c r="L14" s="13">
        <v>5437127.0837499946</v>
      </c>
      <c r="M14" s="13">
        <v>4259847.8962499946</v>
      </c>
      <c r="N14" s="179">
        <v>43739</v>
      </c>
      <c r="O14" s="16">
        <v>45566</v>
      </c>
      <c r="P14" s="13">
        <v>3797322.82</v>
      </c>
      <c r="Q14" s="222" t="e">
        <v>#VALUE!</v>
      </c>
    </row>
    <row r="15" spans="1:17" x14ac:dyDescent="0.2">
      <c r="A15" s="4" t="s">
        <v>34</v>
      </c>
      <c r="B15" s="13">
        <v>1438428739.9100001</v>
      </c>
      <c r="C15" s="13">
        <v>1310018262.29</v>
      </c>
      <c r="D15" s="13">
        <v>128410477.62000012</v>
      </c>
      <c r="E15" s="13">
        <v>19145367.300000001</v>
      </c>
      <c r="F15" s="13">
        <v>30065955</v>
      </c>
      <c r="G15" s="14">
        <v>4.2699999999999996</v>
      </c>
      <c r="H15" s="14">
        <v>0.64</v>
      </c>
      <c r="I15" s="13">
        <v>1595447.2750000001</v>
      </c>
      <c r="J15" s="15">
        <v>5</v>
      </c>
      <c r="K15" s="13">
        <v>120433241.24500012</v>
      </c>
      <c r="L15" s="13">
        <v>13655713.524000024</v>
      </c>
      <c r="M15" s="13">
        <v>10649118.024000024</v>
      </c>
      <c r="N15" s="179">
        <v>43647</v>
      </c>
      <c r="O15" s="16">
        <v>45474</v>
      </c>
      <c r="P15" s="13">
        <v>1887311.71</v>
      </c>
      <c r="Q15" s="222" t="e">
        <v>#VALUE!</v>
      </c>
    </row>
    <row r="16" spans="1:17" x14ac:dyDescent="0.2">
      <c r="A16" s="4" t="s">
        <v>32</v>
      </c>
      <c r="B16" s="13">
        <v>1168142277.4400001</v>
      </c>
      <c r="C16" s="13">
        <v>1057545233.26</v>
      </c>
      <c r="D16" s="13">
        <v>110597044.18000007</v>
      </c>
      <c r="E16" s="13">
        <v>21486113.32</v>
      </c>
      <c r="F16" s="13">
        <v>26355588</v>
      </c>
      <c r="G16" s="14">
        <v>4.2</v>
      </c>
      <c r="H16" s="14">
        <v>0.82</v>
      </c>
      <c r="I16" s="13">
        <v>1790509.4433333334</v>
      </c>
      <c r="J16" s="15">
        <v>5</v>
      </c>
      <c r="K16" s="13">
        <v>101644496.9633334</v>
      </c>
      <c r="L16" s="13">
        <v>11577173.636000013</v>
      </c>
      <c r="M16" s="13">
        <v>8941614.8360000141</v>
      </c>
      <c r="N16" s="179">
        <v>43647</v>
      </c>
      <c r="O16" s="16">
        <v>45474</v>
      </c>
      <c r="P16" s="13">
        <v>2031375</v>
      </c>
      <c r="Q16" s="222" t="e">
        <v>#VALUE!</v>
      </c>
    </row>
    <row r="17" spans="1:17" x14ac:dyDescent="0.2">
      <c r="A17" s="4" t="s">
        <v>44</v>
      </c>
      <c r="B17" s="13">
        <v>300551063.33999997</v>
      </c>
      <c r="C17" s="13">
        <v>272917867.12</v>
      </c>
      <c r="D17" s="13">
        <v>27633196.219999969</v>
      </c>
      <c r="E17" s="13">
        <v>7327715.0499999998</v>
      </c>
      <c r="F17" s="13">
        <v>6730317</v>
      </c>
      <c r="G17" s="14">
        <v>4.1100000000000003</v>
      </c>
      <c r="H17" s="14">
        <v>1.0900000000000001</v>
      </c>
      <c r="I17" s="13">
        <v>610642.92083333328</v>
      </c>
      <c r="J17" s="15">
        <v>5</v>
      </c>
      <c r="K17" s="13">
        <v>24579981.615833301</v>
      </c>
      <c r="L17" s="13">
        <v>2834512.4439999936</v>
      </c>
      <c r="M17" s="13">
        <v>2161480.7439999939</v>
      </c>
      <c r="N17" s="179">
        <v>43647</v>
      </c>
      <c r="O17" s="16">
        <v>45474</v>
      </c>
      <c r="P17" s="13">
        <v>271938.09999999998</v>
      </c>
      <c r="Q17" s="222" t="e">
        <v>#VALUE!</v>
      </c>
    </row>
    <row r="18" spans="1:17" x14ac:dyDescent="0.2">
      <c r="A18" s="4" t="s">
        <v>30</v>
      </c>
      <c r="B18" s="13">
        <v>1022430792.45</v>
      </c>
      <c r="C18" s="13">
        <v>941273663.86000001</v>
      </c>
      <c r="D18" s="13">
        <v>81157128.590000033</v>
      </c>
      <c r="E18" s="13">
        <v>25447127</v>
      </c>
      <c r="F18" s="13">
        <v>19809810</v>
      </c>
      <c r="G18" s="14">
        <v>4.0999999999999996</v>
      </c>
      <c r="H18" s="14">
        <v>1.28</v>
      </c>
      <c r="I18" s="13">
        <v>2120593.9166666665</v>
      </c>
      <c r="J18" s="15">
        <v>2</v>
      </c>
      <c r="K18" s="13">
        <v>76915940.756666705</v>
      </c>
      <c r="L18" s="13">
        <v>20768754.295000017</v>
      </c>
      <c r="M18" s="13">
        <v>15816301.795000017</v>
      </c>
      <c r="N18" s="179">
        <v>43922</v>
      </c>
      <c r="O18" s="16">
        <v>45383</v>
      </c>
      <c r="P18" s="13">
        <v>1425256</v>
      </c>
      <c r="Q18" s="222" t="e">
        <v>#VALUE!</v>
      </c>
    </row>
    <row r="19" spans="1:17" x14ac:dyDescent="0.2">
      <c r="A19" s="4" t="s">
        <v>35</v>
      </c>
      <c r="B19" s="13">
        <v>794219275</v>
      </c>
      <c r="C19" s="13">
        <v>716778400.90999997</v>
      </c>
      <c r="D19" s="13">
        <v>77440874.090000033</v>
      </c>
      <c r="E19" s="13">
        <v>14502219.529999999</v>
      </c>
      <c r="F19" s="13">
        <v>19107637</v>
      </c>
      <c r="G19" s="14">
        <v>4.05</v>
      </c>
      <c r="H19" s="14">
        <v>0.76</v>
      </c>
      <c r="I19" s="13">
        <v>1208518.2941666667</v>
      </c>
      <c r="J19" s="15">
        <v>5</v>
      </c>
      <c r="K19" s="13">
        <v>71398282.619166702</v>
      </c>
      <c r="L19" s="13">
        <v>7845120.0180000067</v>
      </c>
      <c r="M19" s="13">
        <v>5934356.3180000065</v>
      </c>
      <c r="N19" s="179">
        <v>43647</v>
      </c>
      <c r="O19" s="16">
        <v>45474</v>
      </c>
      <c r="P19" s="13">
        <v>1367857.74</v>
      </c>
      <c r="Q19" s="222" t="e">
        <v>#VALUE!</v>
      </c>
    </row>
    <row r="20" spans="1:17" x14ac:dyDescent="0.2">
      <c r="A20" s="4" t="s">
        <v>39</v>
      </c>
      <c r="B20" s="13">
        <v>500565228.91000003</v>
      </c>
      <c r="C20" s="13">
        <v>460001337.69</v>
      </c>
      <c r="D20" s="13">
        <v>40563891.220000029</v>
      </c>
      <c r="E20" s="13">
        <v>9020263.75</v>
      </c>
      <c r="F20" s="13">
        <v>10539100</v>
      </c>
      <c r="G20" s="14">
        <v>3.85</v>
      </c>
      <c r="H20" s="14">
        <v>0.86</v>
      </c>
      <c r="I20" s="13">
        <v>751688.64583333337</v>
      </c>
      <c r="J20" s="15">
        <v>5</v>
      </c>
      <c r="K20" s="13">
        <v>36805447.990833364</v>
      </c>
      <c r="L20" s="13">
        <v>3897138.2440000055</v>
      </c>
      <c r="M20" s="13">
        <v>2843228.2440000055</v>
      </c>
      <c r="N20" s="179">
        <v>43647</v>
      </c>
      <c r="O20" s="16">
        <v>45474</v>
      </c>
      <c r="P20" s="13">
        <v>168953.32</v>
      </c>
      <c r="Q20" s="222" t="e">
        <v>#VALUE!</v>
      </c>
    </row>
    <row r="21" spans="1:17" x14ac:dyDescent="0.2">
      <c r="A21" s="4" t="s">
        <v>43</v>
      </c>
      <c r="B21" s="13">
        <v>254239457</v>
      </c>
      <c r="C21" s="13">
        <v>232762621.74000001</v>
      </c>
      <c r="D21" s="13">
        <v>21476835.25999999</v>
      </c>
      <c r="E21" s="13">
        <v>6475172.9000000004</v>
      </c>
      <c r="F21" s="13">
        <v>5680880</v>
      </c>
      <c r="G21" s="14">
        <v>3.78</v>
      </c>
      <c r="H21" s="14">
        <v>1.1399999999999999</v>
      </c>
      <c r="I21" s="13">
        <v>539597.7416666667</v>
      </c>
      <c r="J21" s="15">
        <v>-1</v>
      </c>
      <c r="K21" s="13" t="s">
        <v>20</v>
      </c>
      <c r="L21" s="13" t="s">
        <v>20</v>
      </c>
      <c r="M21" s="13" t="s">
        <v>20</v>
      </c>
      <c r="N21" s="179">
        <v>43831</v>
      </c>
      <c r="O21" s="16">
        <v>45292</v>
      </c>
      <c r="P21" s="13">
        <v>397615.47</v>
      </c>
      <c r="Q21" s="222" t="e">
        <v>#VALUE!</v>
      </c>
    </row>
    <row r="22" spans="1:17" x14ac:dyDescent="0.2">
      <c r="A22" s="4" t="s">
        <v>47</v>
      </c>
      <c r="B22" s="13">
        <v>104394118</v>
      </c>
      <c r="C22" s="13">
        <v>94818683.930000007</v>
      </c>
      <c r="D22" s="13">
        <v>9575434.0699999928</v>
      </c>
      <c r="E22" s="13">
        <v>2519331.6800000002</v>
      </c>
      <c r="F22" s="13">
        <v>2677355</v>
      </c>
      <c r="G22" s="14">
        <v>3.58</v>
      </c>
      <c r="H22" s="14">
        <v>0.94</v>
      </c>
      <c r="I22" s="13">
        <v>209944.30666666667</v>
      </c>
      <c r="J22" s="15">
        <v>5</v>
      </c>
      <c r="K22" s="13">
        <v>8525712.5366666596</v>
      </c>
      <c r="L22" s="13">
        <v>844144.81399999862</v>
      </c>
      <c r="M22" s="13">
        <v>576409.31399999862</v>
      </c>
      <c r="N22" s="179">
        <v>43647</v>
      </c>
      <c r="O22" s="16">
        <v>45474</v>
      </c>
      <c r="P22" s="13">
        <v>352574.34</v>
      </c>
      <c r="Q22" s="222" t="e">
        <v>#VALUE!</v>
      </c>
    </row>
    <row r="23" spans="1:17" x14ac:dyDescent="0.2">
      <c r="A23" s="4" t="s">
        <v>46</v>
      </c>
      <c r="B23" s="13">
        <v>314446387.48000002</v>
      </c>
      <c r="C23" s="13">
        <v>285564880.88</v>
      </c>
      <c r="D23" s="13">
        <v>28881506.600000024</v>
      </c>
      <c r="E23" s="13">
        <v>7632323.7999999998</v>
      </c>
      <c r="F23" s="13">
        <v>8369791</v>
      </c>
      <c r="G23" s="14">
        <v>3.45</v>
      </c>
      <c r="H23" s="14">
        <v>0.91</v>
      </c>
      <c r="I23" s="13">
        <v>636026.98333333328</v>
      </c>
      <c r="J23" s="15">
        <v>5</v>
      </c>
      <c r="K23" s="13">
        <v>25701371.683333356</v>
      </c>
      <c r="L23" s="13">
        <v>2428384.9200000046</v>
      </c>
      <c r="M23" s="13">
        <v>1591405.8200000047</v>
      </c>
      <c r="N23" s="179">
        <v>43647</v>
      </c>
      <c r="O23" s="16">
        <v>45474</v>
      </c>
      <c r="P23" s="13">
        <v>326809.07</v>
      </c>
      <c r="Q23" s="222" t="e">
        <v>#VALUE!</v>
      </c>
    </row>
    <row r="24" spans="1:17" x14ac:dyDescent="0.2">
      <c r="A24" s="4" t="s">
        <v>45</v>
      </c>
      <c r="B24" s="13">
        <v>2001064841.29</v>
      </c>
      <c r="C24" s="13">
        <v>1862787015.8800001</v>
      </c>
      <c r="D24" s="13">
        <v>138277825.40999985</v>
      </c>
      <c r="E24" s="13">
        <v>39996698.899999999</v>
      </c>
      <c r="F24" s="13">
        <v>40779947</v>
      </c>
      <c r="G24" s="14">
        <v>3.39</v>
      </c>
      <c r="H24" s="14">
        <v>0.98</v>
      </c>
      <c r="I24" s="13">
        <v>3333058.2416666667</v>
      </c>
      <c r="J24" s="15">
        <v>-1</v>
      </c>
      <c r="K24" s="13" t="s">
        <v>20</v>
      </c>
      <c r="L24" s="13" t="s">
        <v>20</v>
      </c>
      <c r="M24" s="13" t="s">
        <v>20</v>
      </c>
      <c r="N24" s="179">
        <v>43831</v>
      </c>
      <c r="O24" s="16">
        <v>45292</v>
      </c>
      <c r="P24" s="13">
        <v>4204951.28</v>
      </c>
      <c r="Q24" s="222" t="e">
        <v>#VALUE!</v>
      </c>
    </row>
    <row r="25" spans="1:17" x14ac:dyDescent="0.2">
      <c r="A25" s="4" t="s">
        <v>51</v>
      </c>
      <c r="B25" s="13">
        <v>1059732308</v>
      </c>
      <c r="C25" s="13">
        <v>979016742.63</v>
      </c>
      <c r="D25" s="13">
        <v>80715565.370000005</v>
      </c>
      <c r="E25" s="13">
        <v>16985927.52</v>
      </c>
      <c r="F25" s="13">
        <v>24168777</v>
      </c>
      <c r="G25" s="14">
        <v>3.34</v>
      </c>
      <c r="H25" s="14">
        <v>0.7</v>
      </c>
      <c r="I25" s="13">
        <v>1415493.96</v>
      </c>
      <c r="J25" s="15">
        <v>-1</v>
      </c>
      <c r="K25" s="13" t="s">
        <v>20</v>
      </c>
      <c r="L25" s="13" t="s">
        <v>20</v>
      </c>
      <c r="M25" s="13" t="s">
        <v>20</v>
      </c>
      <c r="N25" s="179">
        <v>43831</v>
      </c>
      <c r="O25" s="16">
        <v>45292</v>
      </c>
      <c r="P25" s="13">
        <v>1302438</v>
      </c>
      <c r="Q25" s="222" t="e">
        <v>#VALUE!</v>
      </c>
    </row>
    <row r="26" spans="1:17" x14ac:dyDescent="0.2">
      <c r="A26" s="4" t="s">
        <v>38</v>
      </c>
      <c r="B26" s="13">
        <v>528328839.02999997</v>
      </c>
      <c r="C26" s="13">
        <v>482143589.43000001</v>
      </c>
      <c r="D26" s="13">
        <v>46185249.599999964</v>
      </c>
      <c r="E26" s="13">
        <v>16146298.49</v>
      </c>
      <c r="F26" s="13">
        <v>13880022</v>
      </c>
      <c r="G26" s="14">
        <v>3.33</v>
      </c>
      <c r="H26" s="14">
        <v>1.1599999999999999</v>
      </c>
      <c r="I26" s="13">
        <v>1345524.8741666668</v>
      </c>
      <c r="J26" s="15">
        <v>5</v>
      </c>
      <c r="K26" s="13">
        <v>39457625.229166627</v>
      </c>
      <c r="L26" s="13">
        <v>3685041.1199999927</v>
      </c>
      <c r="M26" s="13">
        <v>2297038.9199999929</v>
      </c>
      <c r="N26" s="179">
        <v>43647</v>
      </c>
      <c r="O26" s="16">
        <v>45474</v>
      </c>
      <c r="P26" s="13">
        <v>0</v>
      </c>
      <c r="Q26" s="222" t="e">
        <v>#VALUE!</v>
      </c>
    </row>
    <row r="27" spans="1:17" x14ac:dyDescent="0.2">
      <c r="A27" s="4" t="s">
        <v>41</v>
      </c>
      <c r="B27" s="13">
        <v>1228777673.53</v>
      </c>
      <c r="C27" s="13">
        <v>1073093246.58</v>
      </c>
      <c r="D27" s="13">
        <v>155684426.94999993</v>
      </c>
      <c r="E27" s="13">
        <v>64484828.439999998</v>
      </c>
      <c r="F27" s="13">
        <v>47456120</v>
      </c>
      <c r="G27" s="14">
        <v>3.28</v>
      </c>
      <c r="H27" s="14">
        <v>1.36</v>
      </c>
      <c r="I27" s="13">
        <v>5373735.7033333331</v>
      </c>
      <c r="J27" s="15">
        <v>-1</v>
      </c>
      <c r="K27" s="13" t="s">
        <v>20</v>
      </c>
      <c r="L27" s="13" t="s">
        <v>20</v>
      </c>
      <c r="M27" s="13" t="s">
        <v>20</v>
      </c>
      <c r="N27" s="179">
        <v>43831</v>
      </c>
      <c r="O27" s="16">
        <v>45292</v>
      </c>
      <c r="P27" s="13">
        <v>8171712.6900000004</v>
      </c>
      <c r="Q27" s="222" t="e">
        <v>#VALUE!</v>
      </c>
    </row>
    <row r="28" spans="1:17" x14ac:dyDescent="0.2">
      <c r="A28" s="4" t="s">
        <v>29</v>
      </c>
      <c r="B28" s="13">
        <v>782983569.92999995</v>
      </c>
      <c r="C28" s="13">
        <v>727950745.88</v>
      </c>
      <c r="D28" s="13">
        <v>55032824.049999952</v>
      </c>
      <c r="E28" s="13">
        <v>19226769.420000002</v>
      </c>
      <c r="F28" s="13">
        <v>17807834</v>
      </c>
      <c r="G28" s="14">
        <v>3.09</v>
      </c>
      <c r="H28" s="14">
        <v>1.08</v>
      </c>
      <c r="I28" s="13">
        <v>1602230.7850000001</v>
      </c>
      <c r="J28" s="15">
        <v>5</v>
      </c>
      <c r="K28" s="13">
        <v>47021670.124999955</v>
      </c>
      <c r="L28" s="13">
        <v>3883431.2099999906</v>
      </c>
      <c r="M28" s="13">
        <v>2102647.8099999903</v>
      </c>
      <c r="N28" s="179">
        <v>43647</v>
      </c>
      <c r="O28" s="16">
        <v>45474</v>
      </c>
      <c r="P28" s="13">
        <v>4054932.78</v>
      </c>
      <c r="Q28" s="222" t="e">
        <v>#VALUE!</v>
      </c>
    </row>
    <row r="29" spans="1:17" x14ac:dyDescent="0.2">
      <c r="A29" s="4" t="s">
        <v>55</v>
      </c>
      <c r="B29" s="13">
        <v>675052951</v>
      </c>
      <c r="C29" s="13">
        <v>629699763.55999994</v>
      </c>
      <c r="D29" s="13">
        <v>45353187.440000057</v>
      </c>
      <c r="E29" s="13">
        <v>12148679.390000001</v>
      </c>
      <c r="F29" s="13">
        <v>14786581</v>
      </c>
      <c r="G29" s="14">
        <v>3.07</v>
      </c>
      <c r="H29" s="14">
        <v>0.82</v>
      </c>
      <c r="I29" s="13">
        <v>1012389.9491666667</v>
      </c>
      <c r="J29" s="15">
        <v>-1</v>
      </c>
      <c r="K29" s="13" t="s">
        <v>20</v>
      </c>
      <c r="L29" s="13" t="s">
        <v>20</v>
      </c>
      <c r="M29" s="13" t="s">
        <v>20</v>
      </c>
      <c r="N29" s="179">
        <v>43466</v>
      </c>
      <c r="O29" s="16">
        <v>45292</v>
      </c>
      <c r="P29" s="13">
        <v>981646</v>
      </c>
      <c r="Q29" s="222" t="e">
        <v>#VALUE!</v>
      </c>
    </row>
    <row r="30" spans="1:17" x14ac:dyDescent="0.2">
      <c r="A30" s="4" t="s">
        <v>56</v>
      </c>
      <c r="B30" s="13">
        <v>1154905413</v>
      </c>
      <c r="C30" s="13">
        <v>1071688796.3</v>
      </c>
      <c r="D30" s="13">
        <v>83216616.700000048</v>
      </c>
      <c r="E30" s="13">
        <v>26051943.710000001</v>
      </c>
      <c r="F30" s="13">
        <v>27571438</v>
      </c>
      <c r="G30" s="14">
        <v>3.02</v>
      </c>
      <c r="H30" s="14">
        <v>0.94</v>
      </c>
      <c r="I30" s="13">
        <v>2170995.3091666666</v>
      </c>
      <c r="J30" s="15">
        <v>5</v>
      </c>
      <c r="K30" s="13">
        <v>72361640.154166713</v>
      </c>
      <c r="L30" s="13">
        <v>5614748.1400000099</v>
      </c>
      <c r="M30" s="13">
        <v>2857604.3400000096</v>
      </c>
      <c r="N30" s="179">
        <v>43647</v>
      </c>
      <c r="O30" s="16">
        <v>45474</v>
      </c>
      <c r="P30" s="13">
        <v>2014117.73</v>
      </c>
      <c r="Q30" s="222" t="e">
        <v>#VALUE!</v>
      </c>
    </row>
    <row r="31" spans="1:17" x14ac:dyDescent="0.2">
      <c r="A31" s="4" t="s">
        <v>53</v>
      </c>
      <c r="B31" s="13">
        <v>2879313105.54</v>
      </c>
      <c r="C31" s="13">
        <v>2672264076.25</v>
      </c>
      <c r="D31" s="13">
        <v>207049029.28999996</v>
      </c>
      <c r="E31" s="13">
        <v>74830894.040000007</v>
      </c>
      <c r="F31" s="13">
        <v>70613641</v>
      </c>
      <c r="G31" s="14">
        <v>2.93</v>
      </c>
      <c r="H31" s="14">
        <v>1.06</v>
      </c>
      <c r="I31" s="13">
        <v>6235907.8366666669</v>
      </c>
      <c r="J31" s="15">
        <v>7</v>
      </c>
      <c r="K31" s="13">
        <v>163397674.43333328</v>
      </c>
      <c r="L31" s="13">
        <v>9403106.7557142805</v>
      </c>
      <c r="M31" s="13" t="s">
        <v>42</v>
      </c>
      <c r="N31" s="179">
        <v>44075</v>
      </c>
      <c r="O31" s="16">
        <v>45536</v>
      </c>
      <c r="P31" s="13">
        <v>4635171.24</v>
      </c>
      <c r="Q31" s="222" t="e">
        <v>#VALUE!</v>
      </c>
    </row>
    <row r="32" spans="1:17" x14ac:dyDescent="0.2">
      <c r="A32" s="4" t="s">
        <v>54</v>
      </c>
      <c r="B32" s="13">
        <v>1394382977.99</v>
      </c>
      <c r="C32" s="13">
        <v>1295524665.8900001</v>
      </c>
      <c r="D32" s="13">
        <v>98858312.099999905</v>
      </c>
      <c r="E32" s="13">
        <v>33747783.18</v>
      </c>
      <c r="F32" s="13">
        <v>34869850</v>
      </c>
      <c r="G32" s="14">
        <v>2.84</v>
      </c>
      <c r="H32" s="14">
        <v>0.97</v>
      </c>
      <c r="I32" s="13">
        <v>2812315.2650000001</v>
      </c>
      <c r="J32" s="15">
        <v>2</v>
      </c>
      <c r="K32" s="13">
        <v>93233681.569999903</v>
      </c>
      <c r="L32" s="13">
        <v>14559306.049999952</v>
      </c>
      <c r="M32" s="13">
        <v>5841843.5499999523</v>
      </c>
      <c r="N32" s="179">
        <v>43922</v>
      </c>
      <c r="O32" s="16">
        <v>45383</v>
      </c>
      <c r="P32" s="13">
        <v>3763900.44</v>
      </c>
      <c r="Q32" s="222" t="e">
        <v>#VALUE!</v>
      </c>
    </row>
    <row r="33" spans="1:17" x14ac:dyDescent="0.2">
      <c r="A33" s="4" t="s">
        <v>36</v>
      </c>
      <c r="B33" s="13">
        <v>383328400.93000001</v>
      </c>
      <c r="C33" s="13">
        <v>356955767.99000001</v>
      </c>
      <c r="D33" s="13">
        <v>26372632.939999998</v>
      </c>
      <c r="E33" s="13">
        <v>9937172.8699999992</v>
      </c>
      <c r="F33" s="13">
        <v>9345978</v>
      </c>
      <c r="G33" s="14">
        <v>2.82</v>
      </c>
      <c r="H33" s="14">
        <v>1.06</v>
      </c>
      <c r="I33" s="13">
        <v>828097.73916666664</v>
      </c>
      <c r="J33" s="15">
        <v>2</v>
      </c>
      <c r="K33" s="13">
        <v>24716437.461666666</v>
      </c>
      <c r="L33" s="13">
        <v>3840338.4699999988</v>
      </c>
      <c r="M33" s="13">
        <v>1503843.9699999988</v>
      </c>
      <c r="N33" s="179">
        <v>43556</v>
      </c>
      <c r="O33" s="16">
        <v>45383</v>
      </c>
      <c r="P33" s="13">
        <v>294855.17</v>
      </c>
      <c r="Q33" s="222" t="e">
        <v>#VALUE!</v>
      </c>
    </row>
    <row r="34" spans="1:17" x14ac:dyDescent="0.2">
      <c r="A34" s="4" t="s">
        <v>48</v>
      </c>
      <c r="B34" s="13">
        <v>545409679.30999994</v>
      </c>
      <c r="C34" s="13">
        <v>512522157.31</v>
      </c>
      <c r="D34" s="13">
        <v>32887521.99999994</v>
      </c>
      <c r="E34" s="13">
        <v>16843843.829999998</v>
      </c>
      <c r="F34" s="13">
        <v>11656242</v>
      </c>
      <c r="G34" s="14">
        <v>2.82</v>
      </c>
      <c r="H34" s="14">
        <v>1.45</v>
      </c>
      <c r="I34" s="13">
        <v>1403653.6524999999</v>
      </c>
      <c r="J34" s="15">
        <v>-1</v>
      </c>
      <c r="K34" s="13" t="s">
        <v>20</v>
      </c>
      <c r="L34" s="13" t="s">
        <v>20</v>
      </c>
      <c r="M34" s="13" t="s">
        <v>20</v>
      </c>
      <c r="N34" s="179">
        <v>43831</v>
      </c>
      <c r="O34" s="16">
        <v>45292</v>
      </c>
      <c r="P34" s="13">
        <v>448933</v>
      </c>
      <c r="Q34" s="222" t="e">
        <v>#VALUE!</v>
      </c>
    </row>
    <row r="35" spans="1:17" x14ac:dyDescent="0.2">
      <c r="A35" s="4" t="s">
        <v>52</v>
      </c>
      <c r="B35" s="13">
        <v>522049097</v>
      </c>
      <c r="C35" s="13">
        <v>485160555.61000001</v>
      </c>
      <c r="D35" s="13">
        <v>36888541.389999986</v>
      </c>
      <c r="E35" s="13">
        <v>15534583.25</v>
      </c>
      <c r="F35" s="13">
        <v>13105608</v>
      </c>
      <c r="G35" s="14">
        <v>2.81</v>
      </c>
      <c r="H35" s="14">
        <v>1.19</v>
      </c>
      <c r="I35" s="13">
        <v>1294548.6041666667</v>
      </c>
      <c r="J35" s="15">
        <v>5</v>
      </c>
      <c r="K35" s="13">
        <v>30415798.36916665</v>
      </c>
      <c r="L35" s="13">
        <v>2135465.077999997</v>
      </c>
      <c r="M35" s="13" t="s">
        <v>42</v>
      </c>
      <c r="N35" s="179">
        <v>43647</v>
      </c>
      <c r="O35" s="16">
        <v>45474</v>
      </c>
      <c r="P35" s="13">
        <v>1580860.16</v>
      </c>
      <c r="Q35" s="222" t="e">
        <v>#VALUE!</v>
      </c>
    </row>
    <row r="36" spans="1:17" x14ac:dyDescent="0.2">
      <c r="A36" s="4" t="s">
        <v>64</v>
      </c>
      <c r="B36" s="13">
        <v>346058940</v>
      </c>
      <c r="C36" s="13">
        <v>319966107.76999998</v>
      </c>
      <c r="D36" s="13">
        <v>26092832.230000019</v>
      </c>
      <c r="E36" s="13">
        <v>5120678.08</v>
      </c>
      <c r="F36" s="13">
        <v>9353201</v>
      </c>
      <c r="G36" s="14">
        <v>2.79</v>
      </c>
      <c r="H36" s="14">
        <v>0.55000000000000004</v>
      </c>
      <c r="I36" s="13">
        <v>426723.17333333334</v>
      </c>
      <c r="J36" s="15">
        <v>-1</v>
      </c>
      <c r="K36" s="13" t="s">
        <v>20</v>
      </c>
      <c r="L36" s="13" t="s">
        <v>20</v>
      </c>
      <c r="M36" s="13" t="s">
        <v>20</v>
      </c>
      <c r="N36" s="179">
        <v>43831</v>
      </c>
      <c r="O36" s="16">
        <v>45292</v>
      </c>
      <c r="P36" s="13">
        <v>434032.51</v>
      </c>
      <c r="Q36" s="222" t="e">
        <v>#VALUE!</v>
      </c>
    </row>
    <row r="37" spans="1:17" x14ac:dyDescent="0.2">
      <c r="A37" s="4" t="s">
        <v>58</v>
      </c>
      <c r="B37" s="13">
        <v>1205115490</v>
      </c>
      <c r="C37" s="13">
        <v>1143496819.3</v>
      </c>
      <c r="D37" s="13">
        <v>61618670.700000048</v>
      </c>
      <c r="E37" s="13">
        <v>23212920.890000001</v>
      </c>
      <c r="F37" s="13">
        <v>22499042</v>
      </c>
      <c r="G37" s="14">
        <v>2.74</v>
      </c>
      <c r="H37" s="14">
        <v>1.03</v>
      </c>
      <c r="I37" s="13">
        <v>1934410.0741666667</v>
      </c>
      <c r="J37" s="15">
        <v>2</v>
      </c>
      <c r="K37" s="13">
        <v>57749850.551666714</v>
      </c>
      <c r="L37" s="13">
        <v>8310293.3500000238</v>
      </c>
      <c r="M37" s="13">
        <v>2685532.8500000238</v>
      </c>
      <c r="N37" s="179">
        <v>43922</v>
      </c>
      <c r="O37" s="16">
        <v>45383</v>
      </c>
      <c r="P37" s="13">
        <v>1892637.32</v>
      </c>
      <c r="Q37" s="222" t="e">
        <v>#VALUE!</v>
      </c>
    </row>
    <row r="38" spans="1:17" x14ac:dyDescent="0.2">
      <c r="A38" s="4" t="s">
        <v>60</v>
      </c>
      <c r="B38" s="13">
        <v>342887810.45999998</v>
      </c>
      <c r="C38" s="13">
        <v>320518492.98000002</v>
      </c>
      <c r="D38" s="13">
        <v>22369317.479999959</v>
      </c>
      <c r="E38" s="13">
        <v>8043746.4000000004</v>
      </c>
      <c r="F38" s="13">
        <v>8236180</v>
      </c>
      <c r="G38" s="14">
        <v>2.72</v>
      </c>
      <c r="H38" s="14">
        <v>0.98</v>
      </c>
      <c r="I38" s="13">
        <v>670312.20000000007</v>
      </c>
      <c r="J38" s="15">
        <v>2</v>
      </c>
      <c r="K38" s="13">
        <v>21028693.079999961</v>
      </c>
      <c r="L38" s="13">
        <v>2948478.7399999797</v>
      </c>
      <c r="M38" s="13">
        <v>889433.73999997973</v>
      </c>
      <c r="N38" s="179">
        <v>43556</v>
      </c>
      <c r="O38" s="16">
        <v>45383</v>
      </c>
      <c r="P38" s="13">
        <v>617148.87</v>
      </c>
      <c r="Q38" s="222" t="e">
        <v>#VALUE!</v>
      </c>
    </row>
    <row r="39" spans="1:17" x14ac:dyDescent="0.2">
      <c r="A39" s="4" t="s">
        <v>59</v>
      </c>
      <c r="B39" s="13">
        <v>277600986</v>
      </c>
      <c r="C39" s="13">
        <v>257425117.59</v>
      </c>
      <c r="D39" s="13">
        <v>20175868.409999996</v>
      </c>
      <c r="E39" s="13">
        <v>7154562.5700000003</v>
      </c>
      <c r="F39" s="13">
        <v>7461397</v>
      </c>
      <c r="G39" s="14">
        <v>2.7</v>
      </c>
      <c r="H39" s="14">
        <v>0.96</v>
      </c>
      <c r="I39" s="13">
        <v>596213.54749999999</v>
      </c>
      <c r="J39" s="15">
        <v>5</v>
      </c>
      <c r="K39" s="13">
        <v>17194800.672499996</v>
      </c>
      <c r="L39" s="13">
        <v>1050614.8819999993</v>
      </c>
      <c r="M39" s="13" t="s">
        <v>42</v>
      </c>
      <c r="N39" s="179">
        <v>43647</v>
      </c>
      <c r="O39" s="16">
        <v>45474</v>
      </c>
      <c r="P39" s="13">
        <v>355905.5</v>
      </c>
      <c r="Q39" s="222" t="e">
        <v>#VALUE!</v>
      </c>
    </row>
    <row r="40" spans="1:17" x14ac:dyDescent="0.2">
      <c r="A40" s="4" t="s">
        <v>63</v>
      </c>
      <c r="B40" s="13">
        <v>1309738768.5599999</v>
      </c>
      <c r="C40" s="13">
        <v>1227266462.9300001</v>
      </c>
      <c r="D40" s="13">
        <v>82472305.629999876</v>
      </c>
      <c r="E40" s="13">
        <v>24359096.670000002</v>
      </c>
      <c r="F40" s="13">
        <v>30738746</v>
      </c>
      <c r="G40" s="14">
        <v>2.68</v>
      </c>
      <c r="H40" s="14">
        <v>0.79</v>
      </c>
      <c r="I40" s="13">
        <v>2029924.7225000001</v>
      </c>
      <c r="J40" s="15">
        <v>5</v>
      </c>
      <c r="K40" s="13">
        <v>72322682.017499879</v>
      </c>
      <c r="L40" s="13">
        <v>4198962.7259999756</v>
      </c>
      <c r="M40" s="13" t="s">
        <v>42</v>
      </c>
      <c r="N40" s="179">
        <v>43647</v>
      </c>
      <c r="O40" s="16">
        <v>45474</v>
      </c>
      <c r="P40" s="13">
        <v>0</v>
      </c>
      <c r="Q40" s="222" t="e">
        <v>#VALUE!</v>
      </c>
    </row>
    <row r="41" spans="1:17" x14ac:dyDescent="0.2">
      <c r="A41" s="4" t="s">
        <v>33</v>
      </c>
      <c r="B41" s="13">
        <v>987264872</v>
      </c>
      <c r="C41" s="13">
        <v>924480890.71000004</v>
      </c>
      <c r="D41" s="13">
        <v>62783981.289999962</v>
      </c>
      <c r="E41" s="13">
        <v>33852965.25</v>
      </c>
      <c r="F41" s="13">
        <v>23383549</v>
      </c>
      <c r="G41" s="14">
        <v>2.68</v>
      </c>
      <c r="H41" s="14">
        <v>1.45</v>
      </c>
      <c r="I41" s="13">
        <v>2821080.4375</v>
      </c>
      <c r="J41" s="15">
        <v>2</v>
      </c>
      <c r="K41" s="13">
        <v>57141820.414999962</v>
      </c>
      <c r="L41" s="13">
        <v>8008441.6449999809</v>
      </c>
      <c r="M41" s="13" t="s">
        <v>42</v>
      </c>
      <c r="N41" s="179">
        <v>43922</v>
      </c>
      <c r="O41" s="16">
        <v>45383</v>
      </c>
      <c r="P41" s="13">
        <v>2675941.46</v>
      </c>
      <c r="Q41" s="222" t="e">
        <v>#VALUE!</v>
      </c>
    </row>
    <row r="42" spans="1:17" x14ac:dyDescent="0.2">
      <c r="A42" s="4" t="s">
        <v>57</v>
      </c>
      <c r="B42" s="13">
        <v>98701064</v>
      </c>
      <c r="C42" s="13">
        <v>91268021.930000007</v>
      </c>
      <c r="D42" s="13">
        <v>7433042.0699999928</v>
      </c>
      <c r="E42" s="13">
        <v>5028431.59</v>
      </c>
      <c r="F42" s="13">
        <v>2898567</v>
      </c>
      <c r="G42" s="14">
        <v>2.56</v>
      </c>
      <c r="H42" s="14">
        <v>1.73</v>
      </c>
      <c r="I42" s="13">
        <v>419035.96583333332</v>
      </c>
      <c r="J42" s="15">
        <v>5</v>
      </c>
      <c r="K42" s="13">
        <v>5337862.2408333262</v>
      </c>
      <c r="L42" s="13" t="s">
        <v>42</v>
      </c>
      <c r="M42" s="13" t="s">
        <v>42</v>
      </c>
      <c r="N42" s="179">
        <v>43647</v>
      </c>
      <c r="O42" s="16">
        <v>45474</v>
      </c>
      <c r="P42" s="13">
        <v>0</v>
      </c>
      <c r="Q42" s="222" t="e">
        <v>#VALUE!</v>
      </c>
    </row>
    <row r="43" spans="1:17" x14ac:dyDescent="0.2">
      <c r="A43" s="4" t="s">
        <v>62</v>
      </c>
      <c r="B43" s="13">
        <v>685388676.61000001</v>
      </c>
      <c r="C43" s="13">
        <v>651646423.25</v>
      </c>
      <c r="D43" s="13">
        <v>33742253.360000014</v>
      </c>
      <c r="E43" s="13">
        <v>16208741.77</v>
      </c>
      <c r="F43" s="13">
        <v>13963452</v>
      </c>
      <c r="G43" s="14">
        <v>2.42</v>
      </c>
      <c r="H43" s="14">
        <v>1.1599999999999999</v>
      </c>
      <c r="I43" s="13">
        <v>1350728.4808333332</v>
      </c>
      <c r="J43" s="15">
        <v>2</v>
      </c>
      <c r="K43" s="13">
        <v>31040796.398333348</v>
      </c>
      <c r="L43" s="13">
        <v>2907674.6800000072</v>
      </c>
      <c r="M43" s="13" t="s">
        <v>42</v>
      </c>
      <c r="N43" s="179">
        <v>43922</v>
      </c>
      <c r="O43" s="16">
        <v>45383</v>
      </c>
      <c r="P43" s="13">
        <v>778167.38</v>
      </c>
      <c r="Q43" s="222" t="e">
        <v>#VALUE!</v>
      </c>
    </row>
    <row r="44" spans="1:17" x14ac:dyDescent="0.2">
      <c r="A44" s="4" t="s">
        <v>66</v>
      </c>
      <c r="B44" s="13">
        <v>1940110596.77</v>
      </c>
      <c r="C44" s="13">
        <v>1835513138.21</v>
      </c>
      <c r="D44" s="13">
        <v>104597458.55999994</v>
      </c>
      <c r="E44" s="13">
        <v>41945429.640000001</v>
      </c>
      <c r="F44" s="13">
        <v>45492764</v>
      </c>
      <c r="G44" s="14">
        <v>2.2999999999999998</v>
      </c>
      <c r="H44" s="14">
        <v>0.92</v>
      </c>
      <c r="I44" s="13">
        <v>3495452.47</v>
      </c>
      <c r="J44" s="15">
        <v>5</v>
      </c>
      <c r="K44" s="13">
        <v>87120196.209999949</v>
      </c>
      <c r="L44" s="13" t="s">
        <v>42</v>
      </c>
      <c r="M44" s="13" t="s">
        <v>42</v>
      </c>
      <c r="N44" s="179">
        <v>43647</v>
      </c>
      <c r="O44" s="16">
        <v>45474</v>
      </c>
      <c r="P44" s="13">
        <v>2837532.78</v>
      </c>
      <c r="Q44" s="222" t="e">
        <v>#VALUE!</v>
      </c>
    </row>
    <row r="45" spans="1:17" x14ac:dyDescent="0.2">
      <c r="A45" s="4" t="s">
        <v>49</v>
      </c>
      <c r="B45" s="13">
        <v>1215383392.1700001</v>
      </c>
      <c r="C45" s="13">
        <v>1159919093.0799999</v>
      </c>
      <c r="D45" s="13">
        <v>55464299.090000153</v>
      </c>
      <c r="E45" s="13">
        <v>17966518.129999999</v>
      </c>
      <c r="F45" s="13">
        <v>24335266</v>
      </c>
      <c r="G45" s="14">
        <v>2.2799999999999998</v>
      </c>
      <c r="H45" s="14">
        <v>0.74</v>
      </c>
      <c r="I45" s="13">
        <v>1497209.8441666665</v>
      </c>
      <c r="J45" s="15">
        <v>5</v>
      </c>
      <c r="K45" s="13">
        <v>47978249.869166821</v>
      </c>
      <c r="L45" s="13" t="s">
        <v>42</v>
      </c>
      <c r="M45" s="13" t="s">
        <v>42</v>
      </c>
      <c r="N45" s="179">
        <v>43647</v>
      </c>
      <c r="O45" s="16">
        <v>45474</v>
      </c>
      <c r="P45" s="13">
        <v>496999.4</v>
      </c>
      <c r="Q45" s="222" t="e">
        <v>#VALUE!</v>
      </c>
    </row>
    <row r="46" spans="1:17" x14ac:dyDescent="0.2">
      <c r="A46" s="4" t="s">
        <v>50</v>
      </c>
      <c r="B46" s="13">
        <v>1601312682.0699999</v>
      </c>
      <c r="C46" s="13">
        <v>1508610862.54</v>
      </c>
      <c r="D46" s="13">
        <v>92701819.529999971</v>
      </c>
      <c r="E46" s="13">
        <v>37837253.390000001</v>
      </c>
      <c r="F46" s="13">
        <v>41389514</v>
      </c>
      <c r="G46" s="14">
        <v>2.2400000000000002</v>
      </c>
      <c r="H46" s="14">
        <v>0.91</v>
      </c>
      <c r="I46" s="13">
        <v>3153104.4491666667</v>
      </c>
      <c r="J46" s="15">
        <v>5</v>
      </c>
      <c r="K46" s="13">
        <v>76936297.284166634</v>
      </c>
      <c r="L46" s="13" t="s">
        <v>42</v>
      </c>
      <c r="M46" s="13" t="s">
        <v>42</v>
      </c>
      <c r="N46" s="179">
        <v>43647</v>
      </c>
      <c r="O46" s="16">
        <v>45474</v>
      </c>
      <c r="P46" s="13">
        <v>2050209.54</v>
      </c>
      <c r="Q46" s="222" t="e">
        <v>#VALUE!</v>
      </c>
    </row>
    <row r="47" spans="1:17" x14ac:dyDescent="0.2">
      <c r="A47" s="4" t="s">
        <v>65</v>
      </c>
      <c r="B47" s="13">
        <v>389160034</v>
      </c>
      <c r="C47" s="13">
        <v>366536613.19</v>
      </c>
      <c r="D47" s="13">
        <v>22623420.810000002</v>
      </c>
      <c r="E47" s="13">
        <v>10078767.09</v>
      </c>
      <c r="F47" s="13">
        <v>10126728</v>
      </c>
      <c r="G47" s="14">
        <v>2.23</v>
      </c>
      <c r="H47" s="14">
        <v>1</v>
      </c>
      <c r="I47" s="13">
        <v>839897.25749999995</v>
      </c>
      <c r="J47" s="15">
        <v>5</v>
      </c>
      <c r="K47" s="13">
        <v>18423934.522500001</v>
      </c>
      <c r="L47" s="13" t="s">
        <v>42</v>
      </c>
      <c r="M47" s="13" t="s">
        <v>42</v>
      </c>
      <c r="N47" s="179">
        <v>43647</v>
      </c>
      <c r="O47" s="16">
        <v>45474</v>
      </c>
      <c r="P47" s="13">
        <v>1114125.54</v>
      </c>
      <c r="Q47" s="222" t="e">
        <v>#VALUE!</v>
      </c>
    </row>
    <row r="48" spans="1:17" x14ac:dyDescent="0.2">
      <c r="A48" s="4" t="s">
        <v>68</v>
      </c>
      <c r="B48" s="13">
        <v>497245980</v>
      </c>
      <c r="C48" s="13">
        <v>470897285.83999997</v>
      </c>
      <c r="D48" s="13">
        <v>26348694.160000026</v>
      </c>
      <c r="E48" s="13">
        <v>11650838.25</v>
      </c>
      <c r="F48" s="13">
        <v>11808636</v>
      </c>
      <c r="G48" s="14">
        <v>2.23</v>
      </c>
      <c r="H48" s="14">
        <v>0.99</v>
      </c>
      <c r="I48" s="13">
        <v>970903.1875</v>
      </c>
      <c r="J48" s="15">
        <v>-1</v>
      </c>
      <c r="K48" s="13" t="s">
        <v>20</v>
      </c>
      <c r="L48" s="13" t="s">
        <v>20</v>
      </c>
      <c r="M48" s="13" t="s">
        <v>20</v>
      </c>
      <c r="N48" s="179">
        <v>43831</v>
      </c>
      <c r="O48" s="16">
        <v>45292</v>
      </c>
      <c r="P48" s="13">
        <v>922058.07</v>
      </c>
      <c r="Q48" s="222" t="e">
        <v>#VALUE!</v>
      </c>
    </row>
    <row r="49" spans="1:17" x14ac:dyDescent="0.2">
      <c r="A49" s="4" t="s">
        <v>67</v>
      </c>
      <c r="B49" s="13">
        <v>1082941284</v>
      </c>
      <c r="C49" s="13">
        <v>1023329305.34</v>
      </c>
      <c r="D49" s="13">
        <v>59611978.659999967</v>
      </c>
      <c r="E49" s="13">
        <v>31298554.57</v>
      </c>
      <c r="F49" s="13">
        <v>27168342</v>
      </c>
      <c r="G49" s="14">
        <v>2.19</v>
      </c>
      <c r="H49" s="14">
        <v>1.1499999999999999</v>
      </c>
      <c r="I49" s="13">
        <v>2608212.8808333334</v>
      </c>
      <c r="J49" s="15">
        <v>2</v>
      </c>
      <c r="K49" s="13">
        <v>54395552.898333296</v>
      </c>
      <c r="L49" s="13">
        <v>2637647.3299999833</v>
      </c>
      <c r="M49" s="13" t="s">
        <v>42</v>
      </c>
      <c r="N49" s="179">
        <v>43922</v>
      </c>
      <c r="O49" s="16">
        <v>45383</v>
      </c>
      <c r="P49" s="13">
        <v>2837977.46</v>
      </c>
      <c r="Q49" s="222" t="e">
        <v>#VALUE!</v>
      </c>
    </row>
    <row r="50" spans="1:17" x14ac:dyDescent="0.2">
      <c r="A50" s="4" t="s">
        <v>69</v>
      </c>
      <c r="B50" s="13">
        <v>238203233</v>
      </c>
      <c r="C50" s="13">
        <v>227176500.47</v>
      </c>
      <c r="D50" s="13">
        <v>11026732.530000001</v>
      </c>
      <c r="E50" s="13">
        <v>5811347.0899999999</v>
      </c>
      <c r="F50" s="13">
        <v>5501208</v>
      </c>
      <c r="G50" s="14">
        <v>2</v>
      </c>
      <c r="H50" s="14">
        <v>1.06</v>
      </c>
      <c r="I50" s="13">
        <v>484278.92416666663</v>
      </c>
      <c r="J50" s="15">
        <v>5</v>
      </c>
      <c r="K50" s="13">
        <v>8605337.9091666676</v>
      </c>
      <c r="L50" s="13" t="s">
        <v>42</v>
      </c>
      <c r="M50" s="13" t="s">
        <v>42</v>
      </c>
      <c r="N50" s="179">
        <v>43647</v>
      </c>
      <c r="O50" s="16">
        <v>45474</v>
      </c>
      <c r="P50" s="13">
        <v>411481.69</v>
      </c>
      <c r="Q50" s="222" t="e">
        <v>#VALUE!</v>
      </c>
    </row>
    <row r="51" spans="1:17" x14ac:dyDescent="0.2">
      <c r="A51" s="4" t="s">
        <v>61</v>
      </c>
      <c r="B51" s="13">
        <v>1062416247.5</v>
      </c>
      <c r="C51" s="13">
        <v>1021949480.1900001</v>
      </c>
      <c r="D51" s="13">
        <v>40466767.309999943</v>
      </c>
      <c r="E51" s="13">
        <v>22500781.550000001</v>
      </c>
      <c r="F51" s="13">
        <v>23271036</v>
      </c>
      <c r="G51" s="14">
        <v>1.74</v>
      </c>
      <c r="H51" s="14">
        <v>0.97</v>
      </c>
      <c r="I51" s="13">
        <v>1875065.1291666667</v>
      </c>
      <c r="J51" s="15">
        <v>2</v>
      </c>
      <c r="K51" s="13">
        <v>36716637.05166661</v>
      </c>
      <c r="L51" s="13" t="s">
        <v>42</v>
      </c>
      <c r="M51" s="13" t="s">
        <v>42</v>
      </c>
      <c r="N51" s="179">
        <v>43556</v>
      </c>
      <c r="O51" s="16">
        <v>45383</v>
      </c>
      <c r="P51" s="13">
        <v>1890599.45</v>
      </c>
      <c r="Q51" s="222" t="e">
        <v>#VALUE!</v>
      </c>
    </row>
    <row r="52" spans="1:17" x14ac:dyDescent="0.2">
      <c r="A52" s="4" t="s">
        <v>70</v>
      </c>
      <c r="B52" s="13">
        <v>72717998</v>
      </c>
      <c r="C52" s="13">
        <v>71418184.969999999</v>
      </c>
      <c r="D52" s="18">
        <v>1299813.0300000012</v>
      </c>
      <c r="E52" s="13">
        <v>2483098.7799999998</v>
      </c>
      <c r="F52" s="13">
        <v>2684959</v>
      </c>
      <c r="G52" s="14">
        <v>0.48</v>
      </c>
      <c r="H52" s="14">
        <v>0.92</v>
      </c>
      <c r="I52" s="18">
        <v>206924.89833333332</v>
      </c>
      <c r="J52" s="15">
        <v>5</v>
      </c>
      <c r="K52" s="18">
        <v>265188.53833333461</v>
      </c>
      <c r="L52" s="18" t="s">
        <v>42</v>
      </c>
      <c r="M52" s="18" t="s">
        <v>42</v>
      </c>
      <c r="N52" s="180">
        <v>43647</v>
      </c>
      <c r="O52" s="16">
        <v>45474</v>
      </c>
      <c r="P52" s="13">
        <v>300414.03000000003</v>
      </c>
      <c r="Q52" s="222" t="e">
        <v>#VALUE!</v>
      </c>
    </row>
    <row r="53" spans="1:17" x14ac:dyDescent="0.25">
      <c r="A53" s="34" t="s">
        <v>71</v>
      </c>
      <c r="B53" s="31">
        <v>42891607766.709999</v>
      </c>
      <c r="C53" s="13">
        <v>39510054357.370003</v>
      </c>
      <c r="D53" s="31">
        <v>3381553409.3399963</v>
      </c>
      <c r="E53" s="13">
        <v>923873974.28999996</v>
      </c>
      <c r="F53" s="13">
        <v>984981185</v>
      </c>
      <c r="G53" s="14">
        <v>3.43</v>
      </c>
      <c r="H53" s="14">
        <v>0.94</v>
      </c>
      <c r="I53" s="31">
        <v>76989497.857500002</v>
      </c>
      <c r="J53" s="32"/>
      <c r="K53" s="33"/>
      <c r="L53" s="33"/>
      <c r="M53" s="33"/>
      <c r="N53" s="33"/>
      <c r="O53" s="33"/>
      <c r="P53" s="31">
        <v>70821787.919999987</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40</v>
      </c>
      <c r="H56" s="25"/>
    </row>
    <row r="57" spans="1:17" ht="27" customHeight="1" thickBot="1" x14ac:dyDescent="0.3">
      <c r="D57" s="228" t="s">
        <v>73</v>
      </c>
      <c r="E57" s="229"/>
      <c r="F57" s="229"/>
      <c r="G57" s="27"/>
      <c r="H57" s="28">
        <v>32</v>
      </c>
    </row>
  </sheetData>
  <mergeCells count="2">
    <mergeCell ref="D56:F56"/>
    <mergeCell ref="D57:F57"/>
  </mergeCells>
  <conditionalFormatting sqref="G54">
    <cfRule type="cellIs" dxfId="321" priority="13" stopIfTrue="1" operator="greaterThan">
      <formula>2.5</formula>
    </cfRule>
    <cfRule type="cellIs" dxfId="320" priority="14" stopIfTrue="1" operator="between">
      <formula>2.01</formula>
      <formula>2.5</formula>
    </cfRule>
  </conditionalFormatting>
  <conditionalFormatting sqref="H3:H53">
    <cfRule type="cellIs" dxfId="319" priority="12" stopIfTrue="1" operator="lessThan">
      <formula>1</formula>
    </cfRule>
  </conditionalFormatting>
  <conditionalFormatting sqref="G3:G53">
    <cfRule type="cellIs" dxfId="318" priority="10" stopIfTrue="1" operator="greaterThan">
      <formula>2.5</formula>
    </cfRule>
    <cfRule type="cellIs" dxfId="317" priority="11" stopIfTrue="1" operator="between">
      <formula>2.01</formula>
      <formula>2.5</formula>
    </cfRule>
  </conditionalFormatting>
  <conditionalFormatting sqref="K3:K52">
    <cfRule type="cellIs" dxfId="316" priority="8" stopIfTrue="1" operator="greaterThan">
      <formula>$F3*2.5</formula>
    </cfRule>
    <cfRule type="cellIs" dxfId="315" priority="9" stopIfTrue="1" operator="between">
      <formula>$F3*2</formula>
      <formula>$F3*2.5</formula>
    </cfRule>
  </conditionalFormatting>
  <conditionalFormatting sqref="G54">
    <cfRule type="cellIs" dxfId="314" priority="6" stopIfTrue="1" operator="greaterThan">
      <formula>2.5</formula>
    </cfRule>
    <cfRule type="cellIs" dxfId="313" priority="7" stopIfTrue="1" operator="between">
      <formula>2.01</formula>
      <formula>2.5</formula>
    </cfRule>
  </conditionalFormatting>
  <conditionalFormatting sqref="H3:H53">
    <cfRule type="cellIs" dxfId="312" priority="5" stopIfTrue="1" operator="lessThan">
      <formula>1</formula>
    </cfRule>
  </conditionalFormatting>
  <conditionalFormatting sqref="G3:G53">
    <cfRule type="cellIs" dxfId="311" priority="3" stopIfTrue="1" operator="greaterThan">
      <formula>2.5</formula>
    </cfRule>
    <cfRule type="cellIs" dxfId="310" priority="4" stopIfTrue="1" operator="between">
      <formula>2.01</formula>
      <formula>2.5</formula>
    </cfRule>
  </conditionalFormatting>
  <conditionalFormatting sqref="K3:K52">
    <cfRule type="cellIs" dxfId="309" priority="1" stopIfTrue="1" operator="greaterThan">
      <formula>$F3*2.5</formula>
    </cfRule>
    <cfRule type="cellIs" dxfId="308"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63F02-A463-45F0-8F0F-522497342E55}">
  <sheetPr>
    <tabColor rgb="FF92D050"/>
    <pageSetUpPr fitToPage="1"/>
  </sheetPr>
  <dimension ref="A1:Q57"/>
  <sheetViews>
    <sheetView workbookViewId="0">
      <pane xSplit="1" ySplit="2" topLeftCell="B3" activePane="bottomRight" state="frozen"/>
      <selection pane="topRight" activeCell="A19" sqref="A19:H81"/>
      <selection pane="bottomLeft" activeCell="A19" sqref="A19:H81"/>
      <selection pane="bottomRight" activeCell="P1" sqref="P1:Q65536"/>
    </sheetView>
  </sheetViews>
  <sheetFormatPr defaultColWidth="9.1796875" defaultRowHeight="12.5" x14ac:dyDescent="0.25"/>
  <cols>
    <col min="1" max="1" width="13.453125" style="17" customWidth="1"/>
    <col min="2" max="2" width="11" style="23" bestFit="1" customWidth="1"/>
    <col min="3" max="3" width="10.1796875" style="23" bestFit="1" customWidth="1"/>
    <col min="4" max="6" width="9.7265625" style="23" customWidth="1"/>
    <col min="7" max="7" width="7.81640625" style="26" customWidth="1"/>
    <col min="8" max="8" width="9.26953125" style="26" customWidth="1"/>
    <col min="9" max="9" width="8.26953125" style="23" customWidth="1"/>
    <col min="10" max="10" width="6.453125" style="17" customWidth="1"/>
    <col min="11" max="11" width="9.26953125" style="23" customWidth="1"/>
    <col min="12" max="12" width="8.7265625" style="23" customWidth="1"/>
    <col min="13" max="13" width="8.54296875" style="23" customWidth="1"/>
    <col min="14" max="14" width="8.453125" style="23" customWidth="1"/>
    <col min="15" max="15" width="5.81640625" style="17" customWidth="1"/>
    <col min="16" max="16" width="9.1796875" style="23" hidden="1" customWidth="1"/>
    <col min="17" max="17" width="16.54296875" style="17" hidden="1" customWidth="1"/>
    <col min="18" max="16384" width="9.1796875" style="17"/>
  </cols>
  <sheetData>
    <row r="1" spans="1:17" s="8" customFormat="1" ht="18" x14ac:dyDescent="0.25">
      <c r="A1" s="4" t="s">
        <v>88</v>
      </c>
      <c r="B1" s="178" t="s">
        <v>89</v>
      </c>
      <c r="C1" s="5"/>
      <c r="D1" s="5"/>
      <c r="E1" s="5"/>
      <c r="F1" s="5"/>
      <c r="G1" s="6"/>
      <c r="H1" s="6"/>
      <c r="I1" s="5"/>
      <c r="J1" s="7"/>
      <c r="K1" s="5"/>
      <c r="L1" s="5"/>
      <c r="M1" s="5"/>
      <c r="N1" s="5"/>
      <c r="O1" s="7"/>
      <c r="P1" s="5"/>
      <c r="Q1" s="7"/>
    </row>
    <row r="2" spans="1:17" s="8" customFormat="1" ht="36.5" thickBot="1" x14ac:dyDescent="0.3">
      <c r="A2" s="9" t="s">
        <v>2</v>
      </c>
      <c r="B2" s="10" t="s">
        <v>3</v>
      </c>
      <c r="C2" s="10" t="s">
        <v>4</v>
      </c>
      <c r="D2" s="10" t="s">
        <v>5</v>
      </c>
      <c r="E2" s="10" t="s">
        <v>6</v>
      </c>
      <c r="F2" s="10" t="s">
        <v>7</v>
      </c>
      <c r="G2" s="11" t="s">
        <v>8</v>
      </c>
      <c r="H2" s="11" t="s">
        <v>9</v>
      </c>
      <c r="I2" s="10" t="s">
        <v>10</v>
      </c>
      <c r="J2" s="11" t="s">
        <v>11</v>
      </c>
      <c r="K2" s="10" t="s">
        <v>12</v>
      </c>
      <c r="L2" s="10" t="s">
        <v>13</v>
      </c>
      <c r="M2" s="10" t="s">
        <v>14</v>
      </c>
      <c r="N2" s="10" t="s">
        <v>15</v>
      </c>
      <c r="O2" s="11" t="s">
        <v>16</v>
      </c>
      <c r="P2" s="10" t="s">
        <v>17</v>
      </c>
      <c r="Q2" s="10" t="s">
        <v>18</v>
      </c>
    </row>
    <row r="3" spans="1:17" x14ac:dyDescent="0.2">
      <c r="A3" s="12" t="s">
        <v>19</v>
      </c>
      <c r="B3" s="13">
        <v>1139975937.45</v>
      </c>
      <c r="C3" s="13">
        <v>983034843.70000005</v>
      </c>
      <c r="D3" s="13">
        <v>156941093.75</v>
      </c>
      <c r="E3" s="13">
        <v>12157402.720000001</v>
      </c>
      <c r="F3" s="13">
        <v>24778539</v>
      </c>
      <c r="G3" s="14">
        <v>6.33</v>
      </c>
      <c r="H3" s="14">
        <v>0.49</v>
      </c>
      <c r="I3" s="13">
        <v>1013116.8933333334</v>
      </c>
      <c r="J3" s="15">
        <v>4</v>
      </c>
      <c r="K3" s="13">
        <v>152888626.17666668</v>
      </c>
      <c r="L3" s="13">
        <v>26846003.9375</v>
      </c>
      <c r="M3" s="13">
        <v>23748686.5625</v>
      </c>
      <c r="N3" s="179">
        <v>43647</v>
      </c>
      <c r="O3" s="16">
        <v>45474</v>
      </c>
      <c r="P3" s="13">
        <v>1077873.75</v>
      </c>
      <c r="Q3" s="223" t="e">
        <v>#VALUE!</v>
      </c>
    </row>
    <row r="4" spans="1:17" x14ac:dyDescent="0.2">
      <c r="A4" s="4" t="s">
        <v>21</v>
      </c>
      <c r="B4" s="13">
        <v>1788595890.3599999</v>
      </c>
      <c r="C4" s="13">
        <v>1529679133.1700001</v>
      </c>
      <c r="D4" s="13">
        <v>258916757.18999982</v>
      </c>
      <c r="E4" s="13">
        <v>32440779.75</v>
      </c>
      <c r="F4" s="13">
        <v>46272979</v>
      </c>
      <c r="G4" s="14">
        <v>5.6</v>
      </c>
      <c r="H4" s="14">
        <v>0.7</v>
      </c>
      <c r="I4" s="13">
        <v>2703398.3125</v>
      </c>
      <c r="J4" s="15">
        <v>-2</v>
      </c>
      <c r="K4" s="13" t="s">
        <v>20</v>
      </c>
      <c r="L4" s="13" t="s">
        <v>20</v>
      </c>
      <c r="M4" s="13" t="s">
        <v>20</v>
      </c>
      <c r="N4" s="179">
        <v>43831</v>
      </c>
      <c r="O4" s="16">
        <v>45292</v>
      </c>
      <c r="P4" s="13">
        <v>2086279.5</v>
      </c>
      <c r="Q4" s="222" t="e">
        <v>#VALUE!</v>
      </c>
    </row>
    <row r="5" spans="1:17" x14ac:dyDescent="0.2">
      <c r="A5" s="4" t="s">
        <v>22</v>
      </c>
      <c r="B5" s="13">
        <v>708696383.32000005</v>
      </c>
      <c r="C5" s="13">
        <v>631314508.11000001</v>
      </c>
      <c r="D5" s="13">
        <v>77381875.210000038</v>
      </c>
      <c r="E5" s="13">
        <v>11546516.800000001</v>
      </c>
      <c r="F5" s="13">
        <v>13833071</v>
      </c>
      <c r="G5" s="14">
        <v>5.59</v>
      </c>
      <c r="H5" s="14">
        <v>0.83</v>
      </c>
      <c r="I5" s="13">
        <v>962209.7333333334</v>
      </c>
      <c r="J5" s="15">
        <v>4</v>
      </c>
      <c r="K5" s="13">
        <v>73533036.276666701</v>
      </c>
      <c r="L5" s="13">
        <v>12428933.30250001</v>
      </c>
      <c r="M5" s="13">
        <v>10699799.42750001</v>
      </c>
      <c r="N5" s="179">
        <v>43647</v>
      </c>
      <c r="O5" s="16">
        <v>45474</v>
      </c>
      <c r="P5" s="13">
        <v>562563.17000000004</v>
      </c>
      <c r="Q5" s="222" t="e">
        <v>#VALUE!</v>
      </c>
    </row>
    <row r="6" spans="1:17" x14ac:dyDescent="0.2">
      <c r="A6" s="4" t="s">
        <v>24</v>
      </c>
      <c r="B6" s="13">
        <v>1469242870.97</v>
      </c>
      <c r="C6" s="13">
        <v>1293453042.96</v>
      </c>
      <c r="D6" s="13">
        <v>175789828.00999999</v>
      </c>
      <c r="E6" s="13">
        <v>22190418.140000001</v>
      </c>
      <c r="F6" s="13">
        <v>33073641</v>
      </c>
      <c r="G6" s="14">
        <v>5.32</v>
      </c>
      <c r="H6" s="14">
        <v>0.67</v>
      </c>
      <c r="I6" s="13">
        <v>1849201.5116666667</v>
      </c>
      <c r="J6" s="15">
        <v>4</v>
      </c>
      <c r="K6" s="13">
        <v>168393021.96333331</v>
      </c>
      <c r="L6" s="13">
        <v>27410636.502499998</v>
      </c>
      <c r="M6" s="13">
        <v>23276431.377499998</v>
      </c>
      <c r="N6" s="179">
        <v>43647</v>
      </c>
      <c r="O6" s="16">
        <v>45474</v>
      </c>
      <c r="P6" s="13">
        <v>638774.57999999996</v>
      </c>
      <c r="Q6" s="222" t="e">
        <v>#VALUE!</v>
      </c>
    </row>
    <row r="7" spans="1:17" x14ac:dyDescent="0.2">
      <c r="A7" s="4" t="s">
        <v>23</v>
      </c>
      <c r="B7" s="13">
        <v>1336273473.74</v>
      </c>
      <c r="C7" s="13">
        <v>1184281266.9200001</v>
      </c>
      <c r="D7" s="13">
        <v>151992206.81999993</v>
      </c>
      <c r="E7" s="13">
        <v>16622441.560000001</v>
      </c>
      <c r="F7" s="13">
        <v>29074134</v>
      </c>
      <c r="G7" s="14">
        <v>5.23</v>
      </c>
      <c r="H7" s="14">
        <v>0.56999999999999995</v>
      </c>
      <c r="I7" s="13">
        <v>1385203.4633333334</v>
      </c>
      <c r="J7" s="15">
        <v>-2</v>
      </c>
      <c r="K7" s="13" t="s">
        <v>20</v>
      </c>
      <c r="L7" s="13" t="s">
        <v>20</v>
      </c>
      <c r="M7" s="13" t="s">
        <v>20</v>
      </c>
      <c r="N7" s="179">
        <v>43831</v>
      </c>
      <c r="O7" s="16">
        <v>45292</v>
      </c>
      <c r="P7" s="13">
        <v>3073090.6</v>
      </c>
      <c r="Q7" s="222" t="e">
        <v>#VALUE!</v>
      </c>
    </row>
    <row r="8" spans="1:17" x14ac:dyDescent="0.2">
      <c r="A8" s="4" t="s">
        <v>40</v>
      </c>
      <c r="B8" s="13">
        <v>203184695.25999999</v>
      </c>
      <c r="C8" s="13">
        <v>175889590.36000001</v>
      </c>
      <c r="D8" s="13">
        <v>27295104.899999976</v>
      </c>
      <c r="E8" s="13">
        <v>3608194.32</v>
      </c>
      <c r="F8" s="13">
        <v>5655134</v>
      </c>
      <c r="G8" s="14">
        <v>4.83</v>
      </c>
      <c r="H8" s="14">
        <v>0.64</v>
      </c>
      <c r="I8" s="13">
        <v>300682.86</v>
      </c>
      <c r="J8" s="15">
        <v>4</v>
      </c>
      <c r="K8" s="13">
        <v>26092373.459999975</v>
      </c>
      <c r="L8" s="13">
        <v>3996209.224999994</v>
      </c>
      <c r="M8" s="13">
        <v>3289317.474999994</v>
      </c>
      <c r="N8" s="179">
        <v>43647</v>
      </c>
      <c r="O8" s="16">
        <v>45474</v>
      </c>
      <c r="P8" s="13">
        <v>59160.639999999999</v>
      </c>
      <c r="Q8" s="222" t="e">
        <v>#VALUE!</v>
      </c>
    </row>
    <row r="9" spans="1:17" x14ac:dyDescent="0.2">
      <c r="A9" s="4" t="s">
        <v>26</v>
      </c>
      <c r="B9" s="13">
        <v>120899760.39</v>
      </c>
      <c r="C9" s="13">
        <v>104375723.98999999</v>
      </c>
      <c r="D9" s="13">
        <v>16524036.400000006</v>
      </c>
      <c r="E9" s="13">
        <v>1721907.13</v>
      </c>
      <c r="F9" s="13">
        <v>3521015</v>
      </c>
      <c r="G9" s="14">
        <v>4.6900000000000004</v>
      </c>
      <c r="H9" s="14">
        <v>0.49</v>
      </c>
      <c r="I9" s="13">
        <v>143492.26083333333</v>
      </c>
      <c r="J9" s="15">
        <v>-2</v>
      </c>
      <c r="K9" s="13" t="s">
        <v>20</v>
      </c>
      <c r="L9" s="13" t="s">
        <v>20</v>
      </c>
      <c r="M9" s="13" t="s">
        <v>20</v>
      </c>
      <c r="N9" s="179">
        <v>43831</v>
      </c>
      <c r="O9" s="16">
        <v>45292</v>
      </c>
      <c r="P9" s="13">
        <v>51250.44</v>
      </c>
      <c r="Q9" s="222" t="e">
        <v>#VALUE!</v>
      </c>
    </row>
    <row r="10" spans="1:17" x14ac:dyDescent="0.2">
      <c r="A10" s="4" t="s">
        <v>31</v>
      </c>
      <c r="B10" s="13">
        <v>493558716</v>
      </c>
      <c r="C10" s="13">
        <v>444110809.05000001</v>
      </c>
      <c r="D10" s="13">
        <v>49447906.949999988</v>
      </c>
      <c r="E10" s="13">
        <v>6911370.0800000001</v>
      </c>
      <c r="F10" s="13">
        <v>11038481</v>
      </c>
      <c r="G10" s="14">
        <v>4.4800000000000004</v>
      </c>
      <c r="H10" s="14">
        <v>0.63</v>
      </c>
      <c r="I10" s="13">
        <v>575947.50666666671</v>
      </c>
      <c r="J10" s="15">
        <v>-2</v>
      </c>
      <c r="K10" s="13" t="s">
        <v>20</v>
      </c>
      <c r="L10" s="13" t="s">
        <v>20</v>
      </c>
      <c r="M10" s="13" t="s">
        <v>20</v>
      </c>
      <c r="N10" s="179">
        <v>43831</v>
      </c>
      <c r="O10" s="16">
        <v>45292</v>
      </c>
      <c r="P10" s="13">
        <v>359340.67</v>
      </c>
      <c r="Q10" s="222" t="e">
        <v>#VALUE!</v>
      </c>
    </row>
    <row r="11" spans="1:17" x14ac:dyDescent="0.2">
      <c r="A11" s="4" t="s">
        <v>25</v>
      </c>
      <c r="B11" s="13">
        <v>265120500</v>
      </c>
      <c r="C11" s="13">
        <v>237570856.05000001</v>
      </c>
      <c r="D11" s="13">
        <v>27549643.949999988</v>
      </c>
      <c r="E11" s="13">
        <v>7241054.4900000002</v>
      </c>
      <c r="F11" s="13">
        <v>6172506</v>
      </c>
      <c r="G11" s="14">
        <v>4.46</v>
      </c>
      <c r="H11" s="14">
        <v>1.17</v>
      </c>
      <c r="I11" s="13">
        <v>603421.20750000002</v>
      </c>
      <c r="J11" s="15">
        <v>1</v>
      </c>
      <c r="K11" s="13">
        <v>26946222.742499989</v>
      </c>
      <c r="L11" s="13">
        <v>15204631.949999988</v>
      </c>
      <c r="M11" s="13">
        <v>12118378.949999988</v>
      </c>
      <c r="N11" s="179">
        <v>43922</v>
      </c>
      <c r="O11" s="16">
        <v>45383</v>
      </c>
      <c r="P11" s="13">
        <v>760466.6</v>
      </c>
      <c r="Q11" s="222" t="e">
        <v>#VALUE!</v>
      </c>
    </row>
    <row r="12" spans="1:17" x14ac:dyDescent="0.2">
      <c r="A12" s="4" t="s">
        <v>37</v>
      </c>
      <c r="B12" s="13">
        <v>187480557</v>
      </c>
      <c r="C12" s="13">
        <v>172360382.22999999</v>
      </c>
      <c r="D12" s="13">
        <v>15120174.770000011</v>
      </c>
      <c r="E12" s="13">
        <v>2357645.96</v>
      </c>
      <c r="F12" s="13">
        <v>3515583</v>
      </c>
      <c r="G12" s="14">
        <v>4.3</v>
      </c>
      <c r="H12" s="14">
        <v>0.67</v>
      </c>
      <c r="I12" s="13">
        <v>196470.49666666667</v>
      </c>
      <c r="J12" s="15">
        <v>4</v>
      </c>
      <c r="K12" s="13">
        <v>14334292.783333344</v>
      </c>
      <c r="L12" s="13">
        <v>2022252.1925000027</v>
      </c>
      <c r="M12" s="13">
        <v>1582804.3175000027</v>
      </c>
      <c r="N12" s="179">
        <v>43647</v>
      </c>
      <c r="O12" s="16">
        <v>45474</v>
      </c>
      <c r="P12" s="13">
        <v>570300.82999999996</v>
      </c>
      <c r="Q12" s="222" t="e">
        <v>#VALUE!</v>
      </c>
    </row>
    <row r="13" spans="1:17" x14ac:dyDescent="0.2">
      <c r="A13" s="4" t="s">
        <v>28</v>
      </c>
      <c r="B13" s="13">
        <v>1945106991</v>
      </c>
      <c r="C13" s="13">
        <v>1850776575.0999999</v>
      </c>
      <c r="D13" s="13">
        <v>94330415.900000095</v>
      </c>
      <c r="E13" s="13">
        <v>20953922.140000001</v>
      </c>
      <c r="F13" s="13">
        <v>22131554</v>
      </c>
      <c r="G13" s="14">
        <v>4.26</v>
      </c>
      <c r="H13" s="14">
        <v>0.95</v>
      </c>
      <c r="I13" s="13">
        <v>1746160.1783333335</v>
      </c>
      <c r="J13" s="15">
        <v>4</v>
      </c>
      <c r="K13" s="13">
        <v>87345775.186666757</v>
      </c>
      <c r="L13" s="13">
        <v>12516826.975000024</v>
      </c>
      <c r="M13" s="13">
        <v>9750382.7250000238</v>
      </c>
      <c r="N13" s="179">
        <v>43647</v>
      </c>
      <c r="O13" s="16">
        <v>45474</v>
      </c>
      <c r="P13" s="13">
        <v>1546477.1</v>
      </c>
      <c r="Q13" s="222" t="e">
        <v>#VALUE!</v>
      </c>
    </row>
    <row r="14" spans="1:17" x14ac:dyDescent="0.2">
      <c r="A14" s="4" t="s">
        <v>27</v>
      </c>
      <c r="B14" s="13">
        <v>853256279</v>
      </c>
      <c r="C14" s="13">
        <v>773790979.03999996</v>
      </c>
      <c r="D14" s="13">
        <v>79465299.960000038</v>
      </c>
      <c r="E14" s="13">
        <v>18598804.719999999</v>
      </c>
      <c r="F14" s="13">
        <v>18836467</v>
      </c>
      <c r="G14" s="14">
        <v>4.22</v>
      </c>
      <c r="H14" s="14">
        <v>0.99</v>
      </c>
      <c r="I14" s="13">
        <v>1549900.3933333333</v>
      </c>
      <c r="J14" s="15">
        <v>7</v>
      </c>
      <c r="K14" s="13">
        <v>68615997.206666708</v>
      </c>
      <c r="L14" s="13">
        <v>5970337.9942857195</v>
      </c>
      <c r="M14" s="13">
        <v>4624876.0657142913</v>
      </c>
      <c r="N14" s="179">
        <v>43739</v>
      </c>
      <c r="O14" s="16">
        <v>45566</v>
      </c>
      <c r="P14" s="13">
        <v>1704650.71</v>
      </c>
      <c r="Q14" s="222" t="e">
        <v>#VALUE!</v>
      </c>
    </row>
    <row r="15" spans="1:17" x14ac:dyDescent="0.2">
      <c r="A15" s="4" t="s">
        <v>32</v>
      </c>
      <c r="B15" s="13">
        <v>1168142277.4400001</v>
      </c>
      <c r="C15" s="13">
        <v>1058948527.26</v>
      </c>
      <c r="D15" s="13">
        <v>109193750.18000007</v>
      </c>
      <c r="E15" s="13">
        <v>21317796.32</v>
      </c>
      <c r="F15" s="13">
        <v>26355588</v>
      </c>
      <c r="G15" s="14">
        <v>4.1399999999999997</v>
      </c>
      <c r="H15" s="14">
        <v>0.81</v>
      </c>
      <c r="I15" s="13">
        <v>1776483.0266666666</v>
      </c>
      <c r="J15" s="15">
        <v>4</v>
      </c>
      <c r="K15" s="13">
        <v>102087818.0733334</v>
      </c>
      <c r="L15" s="13">
        <v>14120643.545000017</v>
      </c>
      <c r="M15" s="13">
        <v>10826195.045000017</v>
      </c>
      <c r="N15" s="179">
        <v>43647</v>
      </c>
      <c r="O15" s="16">
        <v>45474</v>
      </c>
      <c r="P15" s="13">
        <v>1403294</v>
      </c>
      <c r="Q15" s="222" t="e">
        <v>#VALUE!</v>
      </c>
    </row>
    <row r="16" spans="1:17" x14ac:dyDescent="0.2">
      <c r="A16" s="4" t="s">
        <v>44</v>
      </c>
      <c r="B16" s="13">
        <v>300551063.33999997</v>
      </c>
      <c r="C16" s="13">
        <v>272917867.12</v>
      </c>
      <c r="D16" s="13">
        <v>27633196.219999969</v>
      </c>
      <c r="E16" s="13">
        <v>7084809.2199999997</v>
      </c>
      <c r="F16" s="13">
        <v>6730317</v>
      </c>
      <c r="G16" s="14">
        <v>4.1100000000000003</v>
      </c>
      <c r="H16" s="14">
        <v>1.05</v>
      </c>
      <c r="I16" s="13">
        <v>590400.76833333331</v>
      </c>
      <c r="J16" s="15">
        <v>4</v>
      </c>
      <c r="K16" s="13">
        <v>25271593.146666635</v>
      </c>
      <c r="L16" s="13">
        <v>3543140.5549999923</v>
      </c>
      <c r="M16" s="13">
        <v>2701850.9299999923</v>
      </c>
      <c r="N16" s="179">
        <v>43647</v>
      </c>
      <c r="O16" s="16">
        <v>45474</v>
      </c>
      <c r="P16" s="13">
        <v>0</v>
      </c>
      <c r="Q16" s="222" t="e">
        <v>#VALUE!</v>
      </c>
    </row>
    <row r="17" spans="1:17" x14ac:dyDescent="0.2">
      <c r="A17" s="4" t="s">
        <v>34</v>
      </c>
      <c r="B17" s="13">
        <v>1438428739.9100001</v>
      </c>
      <c r="C17" s="13">
        <v>1315934583.29</v>
      </c>
      <c r="D17" s="13">
        <v>122494156.62000012</v>
      </c>
      <c r="E17" s="13">
        <v>24089053.559999999</v>
      </c>
      <c r="F17" s="13">
        <v>30065955</v>
      </c>
      <c r="G17" s="14">
        <v>4.07</v>
      </c>
      <c r="H17" s="14">
        <v>0.8</v>
      </c>
      <c r="I17" s="13">
        <v>2007421.13</v>
      </c>
      <c r="J17" s="15">
        <v>4</v>
      </c>
      <c r="K17" s="13">
        <v>114464472.10000013</v>
      </c>
      <c r="L17" s="13">
        <v>15590561.655000031</v>
      </c>
      <c r="M17" s="13">
        <v>11832317.280000031</v>
      </c>
      <c r="N17" s="179">
        <v>43647</v>
      </c>
      <c r="O17" s="16">
        <v>45474</v>
      </c>
      <c r="P17" s="13">
        <v>5916321</v>
      </c>
      <c r="Q17" s="222" t="e">
        <v>#VALUE!</v>
      </c>
    </row>
    <row r="18" spans="1:17" x14ac:dyDescent="0.2">
      <c r="A18" s="4" t="s">
        <v>30</v>
      </c>
      <c r="B18" s="13">
        <v>1022430792.45</v>
      </c>
      <c r="C18" s="13">
        <v>943494502.23000002</v>
      </c>
      <c r="D18" s="13">
        <v>78936290.220000029</v>
      </c>
      <c r="E18" s="13">
        <v>25779463.370000001</v>
      </c>
      <c r="F18" s="13">
        <v>19809810</v>
      </c>
      <c r="G18" s="14">
        <v>3.98</v>
      </c>
      <c r="H18" s="14">
        <v>1.3</v>
      </c>
      <c r="I18" s="13">
        <v>2148288.6141666668</v>
      </c>
      <c r="J18" s="15">
        <v>1</v>
      </c>
      <c r="K18" s="13">
        <v>76788001.605833367</v>
      </c>
      <c r="L18" s="13">
        <v>39316670.220000029</v>
      </c>
      <c r="M18" s="13">
        <v>29411765.220000029</v>
      </c>
      <c r="N18" s="179">
        <v>43922</v>
      </c>
      <c r="O18" s="16">
        <v>45383</v>
      </c>
      <c r="P18" s="13">
        <v>2220838.37</v>
      </c>
      <c r="Q18" s="222" t="e">
        <v>#VALUE!</v>
      </c>
    </row>
    <row r="19" spans="1:17" x14ac:dyDescent="0.2">
      <c r="A19" s="4" t="s">
        <v>35</v>
      </c>
      <c r="B19" s="13">
        <v>794219275</v>
      </c>
      <c r="C19" s="13">
        <v>718090576.12</v>
      </c>
      <c r="D19" s="13">
        <v>76128698.879999995</v>
      </c>
      <c r="E19" s="13">
        <v>14400497.77</v>
      </c>
      <c r="F19" s="13">
        <v>19107637</v>
      </c>
      <c r="G19" s="14">
        <v>3.98</v>
      </c>
      <c r="H19" s="14">
        <v>0.75</v>
      </c>
      <c r="I19" s="13">
        <v>1200041.4808333332</v>
      </c>
      <c r="J19" s="15">
        <v>4</v>
      </c>
      <c r="K19" s="13">
        <v>71328532.956666663</v>
      </c>
      <c r="L19" s="13">
        <v>9478356.2199999988</v>
      </c>
      <c r="M19" s="13">
        <v>7089901.5949999988</v>
      </c>
      <c r="N19" s="179">
        <v>43647</v>
      </c>
      <c r="O19" s="16">
        <v>45474</v>
      </c>
      <c r="P19" s="13">
        <v>1312175.21</v>
      </c>
      <c r="Q19" s="222" t="e">
        <v>#VALUE!</v>
      </c>
    </row>
    <row r="20" spans="1:17" x14ac:dyDescent="0.2">
      <c r="A20" s="4" t="s">
        <v>39</v>
      </c>
      <c r="B20" s="13">
        <v>500565228.91000003</v>
      </c>
      <c r="C20" s="13">
        <v>460331776.91000003</v>
      </c>
      <c r="D20" s="13">
        <v>40233452</v>
      </c>
      <c r="E20" s="13">
        <v>7662908.2800000003</v>
      </c>
      <c r="F20" s="13">
        <v>10539100</v>
      </c>
      <c r="G20" s="14">
        <v>3.82</v>
      </c>
      <c r="H20" s="14">
        <v>0.73</v>
      </c>
      <c r="I20" s="13">
        <v>638575.69000000006</v>
      </c>
      <c r="J20" s="15">
        <v>4</v>
      </c>
      <c r="K20" s="13">
        <v>37679149.240000002</v>
      </c>
      <c r="L20" s="13">
        <v>4788813</v>
      </c>
      <c r="M20" s="13">
        <v>3471425.5</v>
      </c>
      <c r="N20" s="179">
        <v>43647</v>
      </c>
      <c r="O20" s="16">
        <v>45474</v>
      </c>
      <c r="P20" s="13">
        <v>330439.21999999997</v>
      </c>
      <c r="Q20" s="222" t="e">
        <v>#VALUE!</v>
      </c>
    </row>
    <row r="21" spans="1:17" x14ac:dyDescent="0.2">
      <c r="A21" s="4" t="s">
        <v>43</v>
      </c>
      <c r="B21" s="13">
        <v>254239457</v>
      </c>
      <c r="C21" s="13">
        <v>233768864.05000001</v>
      </c>
      <c r="D21" s="13">
        <v>20470592.949999988</v>
      </c>
      <c r="E21" s="13">
        <v>5394428.1600000001</v>
      </c>
      <c r="F21" s="13">
        <v>5680880</v>
      </c>
      <c r="G21" s="14">
        <v>3.6</v>
      </c>
      <c r="H21" s="14">
        <v>0.95</v>
      </c>
      <c r="I21" s="13">
        <v>449535.68</v>
      </c>
      <c r="J21" s="15">
        <v>-2</v>
      </c>
      <c r="K21" s="13" t="s">
        <v>20</v>
      </c>
      <c r="L21" s="13" t="s">
        <v>20</v>
      </c>
      <c r="M21" s="13" t="s">
        <v>20</v>
      </c>
      <c r="N21" s="179">
        <v>43831</v>
      </c>
      <c r="O21" s="16">
        <v>45292</v>
      </c>
      <c r="P21" s="13">
        <v>1006242.31</v>
      </c>
      <c r="Q21" s="222" t="e">
        <v>#VALUE!</v>
      </c>
    </row>
    <row r="22" spans="1:17" x14ac:dyDescent="0.2">
      <c r="A22" s="4" t="s">
        <v>36</v>
      </c>
      <c r="B22" s="13">
        <v>392634217.93000001</v>
      </c>
      <c r="C22" s="13">
        <v>359351767.99000001</v>
      </c>
      <c r="D22" s="13">
        <v>33282449.939999998</v>
      </c>
      <c r="E22" s="13">
        <v>11876753.91</v>
      </c>
      <c r="F22" s="13">
        <v>9305817</v>
      </c>
      <c r="G22" s="14">
        <v>3.58</v>
      </c>
      <c r="H22" s="14">
        <v>1.28</v>
      </c>
      <c r="I22" s="13">
        <v>989729.49250000005</v>
      </c>
      <c r="J22" s="15">
        <v>1</v>
      </c>
      <c r="K22" s="13">
        <v>32292720.447499998</v>
      </c>
      <c r="L22" s="13">
        <v>14670815.939999998</v>
      </c>
      <c r="M22" s="13">
        <v>10017907.439999998</v>
      </c>
      <c r="N22" s="179">
        <v>43556</v>
      </c>
      <c r="O22" s="16">
        <v>45383</v>
      </c>
      <c r="P22" s="13">
        <v>2396000</v>
      </c>
      <c r="Q22" s="222" t="e">
        <v>#VALUE!</v>
      </c>
    </row>
    <row r="23" spans="1:17" x14ac:dyDescent="0.2">
      <c r="A23" s="4" t="s">
        <v>47</v>
      </c>
      <c r="B23" s="13">
        <v>104394118</v>
      </c>
      <c r="C23" s="13">
        <v>95077625.790000007</v>
      </c>
      <c r="D23" s="13">
        <v>9316492.2099999934</v>
      </c>
      <c r="E23" s="13">
        <v>2733257.04</v>
      </c>
      <c r="F23" s="13">
        <v>2677355</v>
      </c>
      <c r="G23" s="14">
        <v>3.48</v>
      </c>
      <c r="H23" s="14">
        <v>1.02</v>
      </c>
      <c r="I23" s="13">
        <v>227771.42</v>
      </c>
      <c r="J23" s="15">
        <v>4</v>
      </c>
      <c r="K23" s="13">
        <v>8405406.5299999937</v>
      </c>
      <c r="L23" s="13">
        <v>990445.55249999836</v>
      </c>
      <c r="M23" s="13">
        <v>655776.17749999836</v>
      </c>
      <c r="N23" s="179">
        <v>43647</v>
      </c>
      <c r="O23" s="16">
        <v>45474</v>
      </c>
      <c r="P23" s="13">
        <v>258941.86</v>
      </c>
      <c r="Q23" s="222" t="e">
        <v>#VALUE!</v>
      </c>
    </row>
    <row r="24" spans="1:17" x14ac:dyDescent="0.2">
      <c r="A24" s="4" t="s">
        <v>46</v>
      </c>
      <c r="B24" s="13">
        <v>314446387.48000002</v>
      </c>
      <c r="C24" s="13">
        <v>286183651.98000002</v>
      </c>
      <c r="D24" s="13">
        <v>28262735.5</v>
      </c>
      <c r="E24" s="13">
        <v>6913202.79</v>
      </c>
      <c r="F24" s="13">
        <v>8369791</v>
      </c>
      <c r="G24" s="14">
        <v>3.38</v>
      </c>
      <c r="H24" s="14">
        <v>0.83</v>
      </c>
      <c r="I24" s="13">
        <v>576100.23250000004</v>
      </c>
      <c r="J24" s="15">
        <v>4</v>
      </c>
      <c r="K24" s="13">
        <v>25958334.57</v>
      </c>
      <c r="L24" s="13">
        <v>2880788.375</v>
      </c>
      <c r="M24" s="13">
        <v>1834564.5</v>
      </c>
      <c r="N24" s="179">
        <v>43647</v>
      </c>
      <c r="O24" s="16">
        <v>45474</v>
      </c>
      <c r="P24" s="13">
        <v>618771.1</v>
      </c>
      <c r="Q24" s="222" t="e">
        <v>#VALUE!</v>
      </c>
    </row>
    <row r="25" spans="1:17" x14ac:dyDescent="0.2">
      <c r="A25" s="4" t="s">
        <v>45</v>
      </c>
      <c r="B25" s="13">
        <v>2001064841.29</v>
      </c>
      <c r="C25" s="13">
        <v>1866478805.8699999</v>
      </c>
      <c r="D25" s="13">
        <v>134586035.42000008</v>
      </c>
      <c r="E25" s="13">
        <v>38374732.420000002</v>
      </c>
      <c r="F25" s="13">
        <v>40779947</v>
      </c>
      <c r="G25" s="14">
        <v>3.3</v>
      </c>
      <c r="H25" s="14">
        <v>0.94</v>
      </c>
      <c r="I25" s="13">
        <v>3197894.3683333336</v>
      </c>
      <c r="J25" s="15">
        <v>-2</v>
      </c>
      <c r="K25" s="13" t="s">
        <v>20</v>
      </c>
      <c r="L25" s="13" t="s">
        <v>20</v>
      </c>
      <c r="M25" s="13" t="s">
        <v>20</v>
      </c>
      <c r="N25" s="179">
        <v>43831</v>
      </c>
      <c r="O25" s="16">
        <v>45292</v>
      </c>
      <c r="P25" s="13">
        <v>3691789.99</v>
      </c>
      <c r="Q25" s="222" t="e">
        <v>#VALUE!</v>
      </c>
    </row>
    <row r="26" spans="1:17" x14ac:dyDescent="0.2">
      <c r="A26" s="4" t="s">
        <v>51</v>
      </c>
      <c r="B26" s="13">
        <v>1059732308</v>
      </c>
      <c r="C26" s="13">
        <v>980768016.5</v>
      </c>
      <c r="D26" s="13">
        <v>78964291.5</v>
      </c>
      <c r="E26" s="13">
        <v>15970820.060000001</v>
      </c>
      <c r="F26" s="13">
        <v>24168777</v>
      </c>
      <c r="G26" s="14">
        <v>3.27</v>
      </c>
      <c r="H26" s="14">
        <v>0.66</v>
      </c>
      <c r="I26" s="13">
        <v>1330901.6716666666</v>
      </c>
      <c r="J26" s="15">
        <v>-2</v>
      </c>
      <c r="K26" s="13" t="s">
        <v>20</v>
      </c>
      <c r="L26" s="13" t="s">
        <v>20</v>
      </c>
      <c r="M26" s="13" t="s">
        <v>20</v>
      </c>
      <c r="N26" s="179">
        <v>43831</v>
      </c>
      <c r="O26" s="16">
        <v>45292</v>
      </c>
      <c r="P26" s="13">
        <v>1751273.87</v>
      </c>
      <c r="Q26" s="222" t="e">
        <v>#VALUE!</v>
      </c>
    </row>
    <row r="27" spans="1:17" x14ac:dyDescent="0.2">
      <c r="A27" s="4" t="s">
        <v>50</v>
      </c>
      <c r="B27" s="13">
        <v>1642297566.0699999</v>
      </c>
      <c r="C27" s="13">
        <v>1511413217.8099999</v>
      </c>
      <c r="D27" s="13">
        <v>130884348.25999999</v>
      </c>
      <c r="E27" s="13">
        <v>37641436.670000002</v>
      </c>
      <c r="F27" s="13">
        <v>40984884</v>
      </c>
      <c r="G27" s="14">
        <v>3.19</v>
      </c>
      <c r="H27" s="14">
        <v>0.92</v>
      </c>
      <c r="I27" s="13">
        <v>3136786.3891666667</v>
      </c>
      <c r="J27" s="15">
        <v>4</v>
      </c>
      <c r="K27" s="13">
        <v>118337202.70333332</v>
      </c>
      <c r="L27" s="13">
        <v>12228645.064999998</v>
      </c>
      <c r="M27" s="13">
        <v>7105534.5649999976</v>
      </c>
      <c r="N27" s="179">
        <v>43647</v>
      </c>
      <c r="O27" s="16">
        <v>45474</v>
      </c>
      <c r="P27" s="13">
        <v>2802355.27</v>
      </c>
      <c r="Q27" s="222" t="e">
        <v>#VALUE!</v>
      </c>
    </row>
    <row r="28" spans="1:17" x14ac:dyDescent="0.2">
      <c r="A28" s="4" t="s">
        <v>41</v>
      </c>
      <c r="B28" s="13">
        <v>1228777673.53</v>
      </c>
      <c r="C28" s="13">
        <v>1077279317.4000001</v>
      </c>
      <c r="D28" s="13">
        <v>151498356.12999988</v>
      </c>
      <c r="E28" s="13">
        <v>62360129.920000002</v>
      </c>
      <c r="F28" s="13">
        <v>47456120</v>
      </c>
      <c r="G28" s="14">
        <v>3.19</v>
      </c>
      <c r="H28" s="14">
        <v>1.31</v>
      </c>
      <c r="I28" s="13">
        <v>5196677.4933333332</v>
      </c>
      <c r="J28" s="15">
        <v>-2</v>
      </c>
      <c r="K28" s="13" t="s">
        <v>20</v>
      </c>
      <c r="L28" s="13" t="s">
        <v>20</v>
      </c>
      <c r="M28" s="13" t="s">
        <v>20</v>
      </c>
      <c r="N28" s="179">
        <v>43831</v>
      </c>
      <c r="O28" s="16">
        <v>45292</v>
      </c>
      <c r="P28" s="13">
        <v>4186070.82</v>
      </c>
      <c r="Q28" s="222" t="e">
        <v>#VALUE!</v>
      </c>
    </row>
    <row r="29" spans="1:17" x14ac:dyDescent="0.2">
      <c r="A29" s="4" t="s">
        <v>38</v>
      </c>
      <c r="B29" s="13">
        <v>528328839.02999997</v>
      </c>
      <c r="C29" s="13">
        <v>485018360.06</v>
      </c>
      <c r="D29" s="13">
        <v>43310478.969999969</v>
      </c>
      <c r="E29" s="13">
        <v>16537762.460000001</v>
      </c>
      <c r="F29" s="13">
        <v>13880022</v>
      </c>
      <c r="G29" s="14">
        <v>3.12</v>
      </c>
      <c r="H29" s="14">
        <v>1.19</v>
      </c>
      <c r="I29" s="13">
        <v>1378146.8716666668</v>
      </c>
      <c r="J29" s="15">
        <v>4</v>
      </c>
      <c r="K29" s="13">
        <v>37797891.483333305</v>
      </c>
      <c r="L29" s="13">
        <v>3887608.7424999923</v>
      </c>
      <c r="M29" s="13">
        <v>2152605.9924999923</v>
      </c>
      <c r="N29" s="179">
        <v>43647</v>
      </c>
      <c r="O29" s="16">
        <v>45474</v>
      </c>
      <c r="P29" s="13">
        <v>2874770.63</v>
      </c>
      <c r="Q29" s="222" t="e">
        <v>#VALUE!</v>
      </c>
    </row>
    <row r="30" spans="1:17" x14ac:dyDescent="0.2">
      <c r="A30" s="4" t="s">
        <v>29</v>
      </c>
      <c r="B30" s="13">
        <v>782983569.92999995</v>
      </c>
      <c r="C30" s="13">
        <v>729270721.75</v>
      </c>
      <c r="D30" s="13">
        <v>53712848.179999948</v>
      </c>
      <c r="E30" s="13">
        <v>18878314.600000001</v>
      </c>
      <c r="F30" s="13">
        <v>17807834</v>
      </c>
      <c r="G30" s="14">
        <v>3.02</v>
      </c>
      <c r="H30" s="14">
        <v>1.06</v>
      </c>
      <c r="I30" s="13">
        <v>1573192.8833333335</v>
      </c>
      <c r="J30" s="15">
        <v>4</v>
      </c>
      <c r="K30" s="13">
        <v>47420076.646666616</v>
      </c>
      <c r="L30" s="13">
        <v>4524295.0449999869</v>
      </c>
      <c r="M30" s="13">
        <v>2298315.7949999869</v>
      </c>
      <c r="N30" s="179">
        <v>43647</v>
      </c>
      <c r="O30" s="16">
        <v>45474</v>
      </c>
      <c r="P30" s="13">
        <v>1319975.8700000001</v>
      </c>
      <c r="Q30" s="222" t="e">
        <v>#VALUE!</v>
      </c>
    </row>
    <row r="31" spans="1:17" x14ac:dyDescent="0.2">
      <c r="A31" s="4" t="s">
        <v>55</v>
      </c>
      <c r="B31" s="13">
        <v>675052951</v>
      </c>
      <c r="C31" s="13">
        <v>630499696.66999996</v>
      </c>
      <c r="D31" s="13">
        <v>44553254.330000043</v>
      </c>
      <c r="E31" s="13">
        <v>11552280.539999999</v>
      </c>
      <c r="F31" s="13">
        <v>14786581</v>
      </c>
      <c r="G31" s="14">
        <v>3.01</v>
      </c>
      <c r="H31" s="14">
        <v>0.78</v>
      </c>
      <c r="I31" s="13">
        <v>962690.04499999993</v>
      </c>
      <c r="J31" s="15">
        <v>-2</v>
      </c>
      <c r="K31" s="13" t="s">
        <v>20</v>
      </c>
      <c r="L31" s="13" t="s">
        <v>20</v>
      </c>
      <c r="M31" s="13" t="s">
        <v>20</v>
      </c>
      <c r="N31" s="179">
        <v>43466</v>
      </c>
      <c r="O31" s="16">
        <v>45292</v>
      </c>
      <c r="P31" s="13">
        <v>799933.11</v>
      </c>
      <c r="Q31" s="222" t="e">
        <v>#VALUE!</v>
      </c>
    </row>
    <row r="32" spans="1:17" x14ac:dyDescent="0.2">
      <c r="A32" s="4" t="s">
        <v>56</v>
      </c>
      <c r="B32" s="13">
        <v>1154905413</v>
      </c>
      <c r="C32" s="13">
        <v>1074350946.1500001</v>
      </c>
      <c r="D32" s="13">
        <v>80554466.849999905</v>
      </c>
      <c r="E32" s="13">
        <v>26117962.859999999</v>
      </c>
      <c r="F32" s="13">
        <v>27571438</v>
      </c>
      <c r="G32" s="14">
        <v>2.92</v>
      </c>
      <c r="H32" s="14">
        <v>0.95</v>
      </c>
      <c r="I32" s="13">
        <v>2176496.9049999998</v>
      </c>
      <c r="J32" s="15">
        <v>4</v>
      </c>
      <c r="K32" s="13">
        <v>71848479.2299999</v>
      </c>
      <c r="L32" s="13">
        <v>6352897.7124999762</v>
      </c>
      <c r="M32" s="13">
        <v>2906467.9624999762</v>
      </c>
      <c r="N32" s="179">
        <v>43647</v>
      </c>
      <c r="O32" s="16">
        <v>45474</v>
      </c>
      <c r="P32" s="13">
        <v>2662149.85</v>
      </c>
      <c r="Q32" s="222" t="e">
        <v>#VALUE!</v>
      </c>
    </row>
    <row r="33" spans="1:17" x14ac:dyDescent="0.2">
      <c r="A33" s="4" t="s">
        <v>53</v>
      </c>
      <c r="B33" s="13">
        <v>2879313105.54</v>
      </c>
      <c r="C33" s="13">
        <v>2679077671.1300001</v>
      </c>
      <c r="D33" s="13">
        <v>200235434.40999985</v>
      </c>
      <c r="E33" s="13">
        <v>75793835.879999995</v>
      </c>
      <c r="F33" s="13">
        <v>70613641</v>
      </c>
      <c r="G33" s="14">
        <v>2.84</v>
      </c>
      <c r="H33" s="14">
        <v>1.07</v>
      </c>
      <c r="I33" s="13">
        <v>6316152.9899999993</v>
      </c>
      <c r="J33" s="15">
        <v>6</v>
      </c>
      <c r="K33" s="13">
        <v>162338516.46999985</v>
      </c>
      <c r="L33" s="13">
        <v>9834692.0683333073</v>
      </c>
      <c r="M33" s="13" t="s">
        <v>42</v>
      </c>
      <c r="N33" s="179">
        <v>44075</v>
      </c>
      <c r="O33" s="16">
        <v>45536</v>
      </c>
      <c r="P33" s="13">
        <v>6813594.8799999999</v>
      </c>
      <c r="Q33" s="222" t="e">
        <v>#VALUE!</v>
      </c>
    </row>
    <row r="34" spans="1:17" x14ac:dyDescent="0.2">
      <c r="A34" s="4" t="s">
        <v>48</v>
      </c>
      <c r="B34" s="13">
        <v>545409679.30999994</v>
      </c>
      <c r="C34" s="13">
        <v>512772225.31</v>
      </c>
      <c r="D34" s="13">
        <v>32637453.99999994</v>
      </c>
      <c r="E34" s="13">
        <v>16089318.83</v>
      </c>
      <c r="F34" s="13">
        <v>11656242</v>
      </c>
      <c r="G34" s="14">
        <v>2.8</v>
      </c>
      <c r="H34" s="14">
        <v>1.38</v>
      </c>
      <c r="I34" s="13">
        <v>1340776.5691666666</v>
      </c>
      <c r="J34" s="15">
        <v>-2</v>
      </c>
      <c r="K34" s="13" t="s">
        <v>20</v>
      </c>
      <c r="L34" s="13" t="s">
        <v>20</v>
      </c>
      <c r="M34" s="13" t="s">
        <v>20</v>
      </c>
      <c r="N34" s="179">
        <v>43831</v>
      </c>
      <c r="O34" s="16">
        <v>45292</v>
      </c>
      <c r="P34" s="13">
        <v>250068</v>
      </c>
      <c r="Q34" s="222" t="e">
        <v>#VALUE!</v>
      </c>
    </row>
    <row r="35" spans="1:17" x14ac:dyDescent="0.2">
      <c r="A35" s="4" t="s">
        <v>52</v>
      </c>
      <c r="B35" s="13">
        <v>522049097</v>
      </c>
      <c r="C35" s="13">
        <v>486250483.75</v>
      </c>
      <c r="D35" s="13">
        <v>35798613.25</v>
      </c>
      <c r="E35" s="13">
        <v>15471133.65</v>
      </c>
      <c r="F35" s="13">
        <v>13105608</v>
      </c>
      <c r="G35" s="14">
        <v>2.73</v>
      </c>
      <c r="H35" s="14">
        <v>1.18</v>
      </c>
      <c r="I35" s="13">
        <v>1289261.1375</v>
      </c>
      <c r="J35" s="15">
        <v>4</v>
      </c>
      <c r="K35" s="13">
        <v>30641568.699999999</v>
      </c>
      <c r="L35" s="13">
        <v>2396849.3125</v>
      </c>
      <c r="M35" s="13" t="s">
        <v>42</v>
      </c>
      <c r="N35" s="179">
        <v>43647</v>
      </c>
      <c r="O35" s="16">
        <v>45474</v>
      </c>
      <c r="P35" s="13">
        <v>1089928.1399999999</v>
      </c>
      <c r="Q35" s="222" t="e">
        <v>#VALUE!</v>
      </c>
    </row>
    <row r="36" spans="1:17" x14ac:dyDescent="0.2">
      <c r="A36" s="4" t="s">
        <v>54</v>
      </c>
      <c r="B36" s="13">
        <v>1394382977.99</v>
      </c>
      <c r="C36" s="13">
        <v>1299587691.8399999</v>
      </c>
      <c r="D36" s="13">
        <v>94795286.150000095</v>
      </c>
      <c r="E36" s="13">
        <v>35342721.990000002</v>
      </c>
      <c r="F36" s="13">
        <v>34869850</v>
      </c>
      <c r="G36" s="14">
        <v>2.72</v>
      </c>
      <c r="H36" s="14">
        <v>1.01</v>
      </c>
      <c r="I36" s="13">
        <v>2945226.8325</v>
      </c>
      <c r="J36" s="15">
        <v>1</v>
      </c>
      <c r="K36" s="13">
        <v>91850059.3175001</v>
      </c>
      <c r="L36" s="13">
        <v>25055586.150000095</v>
      </c>
      <c r="M36" s="13">
        <v>7620661.1500000954</v>
      </c>
      <c r="N36" s="179">
        <v>43922</v>
      </c>
      <c r="O36" s="16">
        <v>45383</v>
      </c>
      <c r="P36" s="13">
        <v>4063025.95</v>
      </c>
      <c r="Q36" s="222" t="e">
        <v>#VALUE!</v>
      </c>
    </row>
    <row r="37" spans="1:17" x14ac:dyDescent="0.2">
      <c r="A37" s="4" t="s">
        <v>64</v>
      </c>
      <c r="B37" s="13">
        <v>346058940</v>
      </c>
      <c r="C37" s="13">
        <v>320590159.11000001</v>
      </c>
      <c r="D37" s="13">
        <v>25468780.889999986</v>
      </c>
      <c r="E37" s="13">
        <v>5236865.8600000003</v>
      </c>
      <c r="F37" s="13">
        <v>9353201</v>
      </c>
      <c r="G37" s="14">
        <v>2.72</v>
      </c>
      <c r="H37" s="14">
        <v>0.56000000000000005</v>
      </c>
      <c r="I37" s="13">
        <v>436405.48833333334</v>
      </c>
      <c r="J37" s="15">
        <v>-2</v>
      </c>
      <c r="K37" s="13" t="s">
        <v>20</v>
      </c>
      <c r="L37" s="13" t="s">
        <v>20</v>
      </c>
      <c r="M37" s="13" t="s">
        <v>20</v>
      </c>
      <c r="N37" s="179">
        <v>43831</v>
      </c>
      <c r="O37" s="16">
        <v>45292</v>
      </c>
      <c r="P37" s="13">
        <v>624051.34</v>
      </c>
      <c r="Q37" s="222" t="e">
        <v>#VALUE!</v>
      </c>
    </row>
    <row r="38" spans="1:17" x14ac:dyDescent="0.2">
      <c r="A38" s="4" t="s">
        <v>59</v>
      </c>
      <c r="B38" s="13">
        <v>277600986</v>
      </c>
      <c r="C38" s="13">
        <v>257745539.59</v>
      </c>
      <c r="D38" s="13">
        <v>19855446.409999996</v>
      </c>
      <c r="E38" s="13">
        <v>7266567.5700000003</v>
      </c>
      <c r="F38" s="13">
        <v>7461397</v>
      </c>
      <c r="G38" s="14">
        <v>2.66</v>
      </c>
      <c r="H38" s="14">
        <v>0.97</v>
      </c>
      <c r="I38" s="13">
        <v>605547.29749999999</v>
      </c>
      <c r="J38" s="15">
        <v>4</v>
      </c>
      <c r="K38" s="13">
        <v>17433257.219999995</v>
      </c>
      <c r="L38" s="13">
        <v>1233163.1024999991</v>
      </c>
      <c r="M38" s="13" t="s">
        <v>42</v>
      </c>
      <c r="N38" s="179">
        <v>43647</v>
      </c>
      <c r="O38" s="16">
        <v>45474</v>
      </c>
      <c r="P38" s="13">
        <v>320422</v>
      </c>
      <c r="Q38" s="222" t="e">
        <v>#VALUE!</v>
      </c>
    </row>
    <row r="39" spans="1:17" x14ac:dyDescent="0.2">
      <c r="A39" s="4" t="s">
        <v>58</v>
      </c>
      <c r="B39" s="13">
        <v>1205115490</v>
      </c>
      <c r="C39" s="13">
        <v>1146115227.6600001</v>
      </c>
      <c r="D39" s="13">
        <v>59000262.339999914</v>
      </c>
      <c r="E39" s="13">
        <v>23563682.07</v>
      </c>
      <c r="F39" s="13">
        <v>22499042</v>
      </c>
      <c r="G39" s="14">
        <v>2.62</v>
      </c>
      <c r="H39" s="14">
        <v>1.05</v>
      </c>
      <c r="I39" s="13">
        <v>1963640.1725000001</v>
      </c>
      <c r="J39" s="15">
        <v>1</v>
      </c>
      <c r="K39" s="13">
        <v>57036622.167499915</v>
      </c>
      <c r="L39" s="13">
        <v>14002178.339999914</v>
      </c>
      <c r="M39" s="13">
        <v>2752657.3399999142</v>
      </c>
      <c r="N39" s="179">
        <v>43922</v>
      </c>
      <c r="O39" s="16">
        <v>45383</v>
      </c>
      <c r="P39" s="13">
        <v>2618408.36</v>
      </c>
      <c r="Q39" s="222" t="e">
        <v>#VALUE!</v>
      </c>
    </row>
    <row r="40" spans="1:17" x14ac:dyDescent="0.2">
      <c r="A40" s="4" t="s">
        <v>63</v>
      </c>
      <c r="B40" s="13">
        <v>1309738768.5599999</v>
      </c>
      <c r="C40" s="13">
        <v>1229679976.75</v>
      </c>
      <c r="D40" s="13">
        <v>80058791.809999943</v>
      </c>
      <c r="E40" s="13">
        <v>24041014.960000001</v>
      </c>
      <c r="F40" s="13">
        <v>30738746</v>
      </c>
      <c r="G40" s="14">
        <v>2.6</v>
      </c>
      <c r="H40" s="14">
        <v>0.78</v>
      </c>
      <c r="I40" s="13">
        <v>2003417.9133333333</v>
      </c>
      <c r="J40" s="15">
        <v>4</v>
      </c>
      <c r="K40" s="13">
        <v>72045120.156666607</v>
      </c>
      <c r="L40" s="13">
        <v>4645324.9524999857</v>
      </c>
      <c r="M40" s="13" t="s">
        <v>42</v>
      </c>
      <c r="N40" s="179">
        <v>43647</v>
      </c>
      <c r="O40" s="16">
        <v>45474</v>
      </c>
      <c r="P40" s="13">
        <v>2413513.8199999998</v>
      </c>
      <c r="Q40" s="222" t="e">
        <v>#VALUE!</v>
      </c>
    </row>
    <row r="41" spans="1:17" x14ac:dyDescent="0.2">
      <c r="A41" s="4" t="s">
        <v>33</v>
      </c>
      <c r="B41" s="13">
        <v>987264872</v>
      </c>
      <c r="C41" s="13">
        <v>927453093.33000004</v>
      </c>
      <c r="D41" s="13">
        <v>59811778.669999957</v>
      </c>
      <c r="E41" s="13">
        <v>34963414.229999997</v>
      </c>
      <c r="F41" s="13">
        <v>23383549</v>
      </c>
      <c r="G41" s="14">
        <v>2.56</v>
      </c>
      <c r="H41" s="14">
        <v>1.5</v>
      </c>
      <c r="I41" s="13">
        <v>2913617.8524999996</v>
      </c>
      <c r="J41" s="15">
        <v>1</v>
      </c>
      <c r="K41" s="13">
        <v>56898160.817499958</v>
      </c>
      <c r="L41" s="13">
        <v>13044680.669999957</v>
      </c>
      <c r="M41" s="13" t="s">
        <v>42</v>
      </c>
      <c r="N41" s="179">
        <v>43922</v>
      </c>
      <c r="O41" s="16">
        <v>45383</v>
      </c>
      <c r="P41" s="13">
        <v>2972202.62</v>
      </c>
      <c r="Q41" s="222" t="e">
        <v>#VALUE!</v>
      </c>
    </row>
    <row r="42" spans="1:17" x14ac:dyDescent="0.2">
      <c r="A42" s="4" t="s">
        <v>60</v>
      </c>
      <c r="B42" s="13">
        <v>342887810.45999998</v>
      </c>
      <c r="C42" s="13">
        <v>321952680.47000003</v>
      </c>
      <c r="D42" s="13">
        <v>20935129.98999995</v>
      </c>
      <c r="E42" s="13">
        <v>7883809.1200000001</v>
      </c>
      <c r="F42" s="13">
        <v>8236180</v>
      </c>
      <c r="G42" s="14">
        <v>2.54</v>
      </c>
      <c r="H42" s="14">
        <v>0.96</v>
      </c>
      <c r="I42" s="13">
        <v>656984.09333333338</v>
      </c>
      <c r="J42" s="15">
        <v>1</v>
      </c>
      <c r="K42" s="13">
        <v>20278145.896666616</v>
      </c>
      <c r="L42" s="13">
        <v>4462769.9899999499</v>
      </c>
      <c r="M42" s="13" t="s">
        <v>42</v>
      </c>
      <c r="N42" s="179">
        <v>43556</v>
      </c>
      <c r="O42" s="16">
        <v>45383</v>
      </c>
      <c r="P42" s="13">
        <v>1434187.49</v>
      </c>
      <c r="Q42" s="222" t="e">
        <v>#VALUE!</v>
      </c>
    </row>
    <row r="43" spans="1:17" x14ac:dyDescent="0.2">
      <c r="A43" s="4" t="s">
        <v>57</v>
      </c>
      <c r="B43" s="13">
        <v>98701064</v>
      </c>
      <c r="C43" s="13">
        <v>91612521.700000003</v>
      </c>
      <c r="D43" s="13">
        <v>7088542.299999997</v>
      </c>
      <c r="E43" s="13">
        <v>4427190.33</v>
      </c>
      <c r="F43" s="13">
        <v>2898567</v>
      </c>
      <c r="G43" s="14">
        <v>2.4500000000000002</v>
      </c>
      <c r="H43" s="14">
        <v>1.53</v>
      </c>
      <c r="I43" s="13">
        <v>368932.52750000003</v>
      </c>
      <c r="J43" s="15">
        <v>4</v>
      </c>
      <c r="K43" s="13">
        <v>5612812.1899999967</v>
      </c>
      <c r="L43" s="13" t="s">
        <v>42</v>
      </c>
      <c r="M43" s="13" t="s">
        <v>42</v>
      </c>
      <c r="N43" s="179">
        <v>43647</v>
      </c>
      <c r="O43" s="16">
        <v>45474</v>
      </c>
      <c r="P43" s="13">
        <v>344499.77</v>
      </c>
      <c r="Q43" s="222" t="e">
        <v>#VALUE!</v>
      </c>
    </row>
    <row r="44" spans="1:17" x14ac:dyDescent="0.2">
      <c r="A44" s="4" t="s">
        <v>62</v>
      </c>
      <c r="B44" s="13">
        <v>685388676.61000001</v>
      </c>
      <c r="C44" s="13">
        <v>653145293.73000002</v>
      </c>
      <c r="D44" s="13">
        <v>32243382.879999995</v>
      </c>
      <c r="E44" s="13">
        <v>14724080.33</v>
      </c>
      <c r="F44" s="13">
        <v>13963452</v>
      </c>
      <c r="G44" s="14">
        <v>2.31</v>
      </c>
      <c r="H44" s="14">
        <v>1.05</v>
      </c>
      <c r="I44" s="13">
        <v>1227006.6941666666</v>
      </c>
      <c r="J44" s="15">
        <v>1</v>
      </c>
      <c r="K44" s="13">
        <v>31016376.185833327</v>
      </c>
      <c r="L44" s="13">
        <v>4316478.8799999952</v>
      </c>
      <c r="M44" s="13" t="s">
        <v>42</v>
      </c>
      <c r="N44" s="179">
        <v>43922</v>
      </c>
      <c r="O44" s="16">
        <v>45383</v>
      </c>
      <c r="P44" s="13">
        <v>1498870.48</v>
      </c>
      <c r="Q44" s="222" t="e">
        <v>#VALUE!</v>
      </c>
    </row>
    <row r="45" spans="1:17" x14ac:dyDescent="0.2">
      <c r="A45" s="4" t="s">
        <v>66</v>
      </c>
      <c r="B45" s="13">
        <v>1940110596.77</v>
      </c>
      <c r="C45" s="13">
        <v>1840033526.55</v>
      </c>
      <c r="D45" s="13">
        <v>100077070.22000003</v>
      </c>
      <c r="E45" s="13">
        <v>40585873.299999997</v>
      </c>
      <c r="F45" s="13">
        <v>45492764</v>
      </c>
      <c r="G45" s="14">
        <v>2.2000000000000002</v>
      </c>
      <c r="H45" s="14">
        <v>0.89</v>
      </c>
      <c r="I45" s="13">
        <v>3382156.1083333329</v>
      </c>
      <c r="J45" s="15">
        <v>4</v>
      </c>
      <c r="K45" s="13">
        <v>86548445.786666691</v>
      </c>
      <c r="L45" s="13" t="s">
        <v>42</v>
      </c>
      <c r="M45" s="13" t="s">
        <v>42</v>
      </c>
      <c r="N45" s="179">
        <v>43647</v>
      </c>
      <c r="O45" s="16">
        <v>45474</v>
      </c>
      <c r="P45" s="13">
        <v>4520388.34</v>
      </c>
      <c r="Q45" s="222" t="e">
        <v>#VALUE!</v>
      </c>
    </row>
    <row r="46" spans="1:17" x14ac:dyDescent="0.2">
      <c r="A46" s="4" t="s">
        <v>49</v>
      </c>
      <c r="B46" s="13">
        <v>1215383392.1700001</v>
      </c>
      <c r="C46" s="13">
        <v>1162452613.8800001</v>
      </c>
      <c r="D46" s="13">
        <v>52930778.289999962</v>
      </c>
      <c r="E46" s="13">
        <v>18677428.329999998</v>
      </c>
      <c r="F46" s="13">
        <v>24335266</v>
      </c>
      <c r="G46" s="14">
        <v>2.1800000000000002</v>
      </c>
      <c r="H46" s="14">
        <v>0.77</v>
      </c>
      <c r="I46" s="13">
        <v>1556452.3608333331</v>
      </c>
      <c r="J46" s="15">
        <v>4</v>
      </c>
      <c r="K46" s="13">
        <v>46704968.846666627</v>
      </c>
      <c r="L46" s="13" t="s">
        <v>42</v>
      </c>
      <c r="M46" s="13" t="s">
        <v>42</v>
      </c>
      <c r="N46" s="179">
        <v>43647</v>
      </c>
      <c r="O46" s="16">
        <v>45474</v>
      </c>
      <c r="P46" s="13">
        <v>2533520.7999999998</v>
      </c>
      <c r="Q46" s="222" t="e">
        <v>#VALUE!</v>
      </c>
    </row>
    <row r="47" spans="1:17" x14ac:dyDescent="0.2">
      <c r="A47" s="4" t="s">
        <v>68</v>
      </c>
      <c r="B47" s="13">
        <v>497245980</v>
      </c>
      <c r="C47" s="13">
        <v>471643857.25999999</v>
      </c>
      <c r="D47" s="13">
        <v>25602122.74000001</v>
      </c>
      <c r="E47" s="13">
        <v>11051741.32</v>
      </c>
      <c r="F47" s="13">
        <v>11808636</v>
      </c>
      <c r="G47" s="14">
        <v>2.17</v>
      </c>
      <c r="H47" s="14">
        <v>0.94</v>
      </c>
      <c r="I47" s="13">
        <v>920978.44333333336</v>
      </c>
      <c r="J47" s="15">
        <v>-2</v>
      </c>
      <c r="K47" s="13" t="s">
        <v>20</v>
      </c>
      <c r="L47" s="13" t="s">
        <v>20</v>
      </c>
      <c r="M47" s="13" t="s">
        <v>20</v>
      </c>
      <c r="N47" s="179">
        <v>43831</v>
      </c>
      <c r="O47" s="16">
        <v>45292</v>
      </c>
      <c r="P47" s="13">
        <v>746571.42</v>
      </c>
      <c r="Q47" s="222" t="e">
        <v>#VALUE!</v>
      </c>
    </row>
    <row r="48" spans="1:17" x14ac:dyDescent="0.2">
      <c r="A48" s="4" t="s">
        <v>65</v>
      </c>
      <c r="B48" s="13">
        <v>389160034</v>
      </c>
      <c r="C48" s="13">
        <v>367263396.80000001</v>
      </c>
      <c r="D48" s="13">
        <v>21896637.199999988</v>
      </c>
      <c r="E48" s="13">
        <v>9735579.5399999991</v>
      </c>
      <c r="F48" s="13">
        <v>10126728</v>
      </c>
      <c r="G48" s="14">
        <v>2.16</v>
      </c>
      <c r="H48" s="14">
        <v>0.96</v>
      </c>
      <c r="I48" s="13">
        <v>811298.29499999993</v>
      </c>
      <c r="J48" s="15">
        <v>4</v>
      </c>
      <c r="K48" s="13">
        <v>18651444.019999988</v>
      </c>
      <c r="L48" s="13" t="s">
        <v>42</v>
      </c>
      <c r="M48" s="13" t="s">
        <v>42</v>
      </c>
      <c r="N48" s="179">
        <v>43647</v>
      </c>
      <c r="O48" s="16">
        <v>45474</v>
      </c>
      <c r="P48" s="13">
        <v>726783.61</v>
      </c>
      <c r="Q48" s="222" t="e">
        <v>#VALUE!</v>
      </c>
    </row>
    <row r="49" spans="1:17" x14ac:dyDescent="0.2">
      <c r="A49" s="4" t="s">
        <v>67</v>
      </c>
      <c r="B49" s="13">
        <v>1082941284</v>
      </c>
      <c r="C49" s="13">
        <v>1024839789.48</v>
      </c>
      <c r="D49" s="13">
        <v>58101494.519999981</v>
      </c>
      <c r="E49" s="13">
        <v>27020741.170000002</v>
      </c>
      <c r="F49" s="13">
        <v>27168342</v>
      </c>
      <c r="G49" s="14">
        <v>2.14</v>
      </c>
      <c r="H49" s="14">
        <v>0.99</v>
      </c>
      <c r="I49" s="13">
        <v>2251728.4308333336</v>
      </c>
      <c r="J49" s="15">
        <v>1</v>
      </c>
      <c r="K49" s="13">
        <v>55849766.089166649</v>
      </c>
      <c r="L49" s="13">
        <v>3764810.5199999809</v>
      </c>
      <c r="M49" s="13" t="s">
        <v>42</v>
      </c>
      <c r="N49" s="179">
        <v>43922</v>
      </c>
      <c r="O49" s="16">
        <v>45383</v>
      </c>
      <c r="P49" s="13">
        <v>1510484.14</v>
      </c>
      <c r="Q49" s="222" t="e">
        <v>#VALUE!</v>
      </c>
    </row>
    <row r="50" spans="1:17" x14ac:dyDescent="0.2">
      <c r="A50" s="4" t="s">
        <v>69</v>
      </c>
      <c r="B50" s="13">
        <v>238203233</v>
      </c>
      <c r="C50" s="13">
        <v>227977720.11000001</v>
      </c>
      <c r="D50" s="13">
        <v>10225512.889999986</v>
      </c>
      <c r="E50" s="13">
        <v>6612566.7300000004</v>
      </c>
      <c r="F50" s="13">
        <v>5501208</v>
      </c>
      <c r="G50" s="14">
        <v>1.86</v>
      </c>
      <c r="H50" s="14">
        <v>1.2</v>
      </c>
      <c r="I50" s="13">
        <v>551047.22750000004</v>
      </c>
      <c r="J50" s="15">
        <v>4</v>
      </c>
      <c r="K50" s="13">
        <v>8021323.9799999855</v>
      </c>
      <c r="L50" s="13" t="s">
        <v>42</v>
      </c>
      <c r="M50" s="13" t="s">
        <v>42</v>
      </c>
      <c r="N50" s="179">
        <v>43647</v>
      </c>
      <c r="O50" s="16">
        <v>45474</v>
      </c>
      <c r="P50" s="13">
        <v>801219.64</v>
      </c>
      <c r="Q50" s="222" t="e">
        <v>#VALUE!</v>
      </c>
    </row>
    <row r="51" spans="1:17" x14ac:dyDescent="0.2">
      <c r="A51" s="4" t="s">
        <v>61</v>
      </c>
      <c r="B51" s="13">
        <v>1062416247.5</v>
      </c>
      <c r="C51" s="13">
        <v>1023759820.9400001</v>
      </c>
      <c r="D51" s="13">
        <v>38656426.559999943</v>
      </c>
      <c r="E51" s="13">
        <v>21481993.710000001</v>
      </c>
      <c r="F51" s="13">
        <v>23271036</v>
      </c>
      <c r="G51" s="14">
        <v>1.66</v>
      </c>
      <c r="H51" s="14">
        <v>0.92</v>
      </c>
      <c r="I51" s="13">
        <v>1790166.1425000001</v>
      </c>
      <c r="J51" s="15">
        <v>1</v>
      </c>
      <c r="K51" s="13">
        <v>36866260.417499945</v>
      </c>
      <c r="L51" s="13" t="s">
        <v>42</v>
      </c>
      <c r="M51" s="13" t="s">
        <v>42</v>
      </c>
      <c r="N51" s="179">
        <v>43556</v>
      </c>
      <c r="O51" s="16">
        <v>45383</v>
      </c>
      <c r="P51" s="13">
        <v>1810340.75</v>
      </c>
      <c r="Q51" s="222" t="e">
        <v>#VALUE!</v>
      </c>
    </row>
    <row r="52" spans="1:17" x14ac:dyDescent="0.2">
      <c r="A52" s="4" t="s">
        <v>70</v>
      </c>
      <c r="B52" s="13">
        <v>75470621</v>
      </c>
      <c r="C52" s="13">
        <v>71502347.450000003</v>
      </c>
      <c r="D52" s="18">
        <v>3968273.549999997</v>
      </c>
      <c r="E52" s="13">
        <v>2527328.77</v>
      </c>
      <c r="F52" s="13">
        <v>2752623</v>
      </c>
      <c r="G52" s="14">
        <v>1.44</v>
      </c>
      <c r="H52" s="14">
        <v>0.92</v>
      </c>
      <c r="I52" s="18">
        <v>210610.73083333333</v>
      </c>
      <c r="J52" s="15">
        <v>4</v>
      </c>
      <c r="K52" s="18">
        <v>3125830.6266666637</v>
      </c>
      <c r="L52" s="18" t="s">
        <v>42</v>
      </c>
      <c r="M52" s="18" t="s">
        <v>42</v>
      </c>
      <c r="N52" s="180">
        <v>43647</v>
      </c>
      <c r="O52" s="16">
        <v>45474</v>
      </c>
      <c r="P52" s="13">
        <v>84162.48</v>
      </c>
      <c r="Q52" s="222" t="e">
        <v>#VALUE!</v>
      </c>
    </row>
    <row r="53" spans="1:17" x14ac:dyDescent="0.25">
      <c r="A53" s="34" t="s">
        <v>71</v>
      </c>
      <c r="B53" s="31">
        <v>42969429629.709999</v>
      </c>
      <c r="C53" s="13">
        <v>39595272172.470001</v>
      </c>
      <c r="D53" s="31">
        <v>3374157457.2399979</v>
      </c>
      <c r="E53" s="13">
        <v>913532955.45000005</v>
      </c>
      <c r="F53" s="13">
        <v>983217035</v>
      </c>
      <c r="G53" s="14">
        <v>3.43</v>
      </c>
      <c r="H53" s="14">
        <v>0.93</v>
      </c>
      <c r="I53" s="31">
        <v>76127746.287500009</v>
      </c>
      <c r="J53" s="32"/>
      <c r="K53" s="33"/>
      <c r="L53" s="33"/>
      <c r="M53" s="33"/>
      <c r="N53" s="33"/>
      <c r="O53" s="33"/>
      <c r="P53" s="31">
        <v>85217815.099999994</v>
      </c>
    </row>
    <row r="54" spans="1:17" x14ac:dyDescent="0.25">
      <c r="A54" s="19"/>
      <c r="B54" s="20"/>
      <c r="C54" s="20"/>
      <c r="D54" s="20"/>
      <c r="E54" s="20"/>
      <c r="F54" s="20"/>
      <c r="G54" s="21"/>
      <c r="H54" s="21"/>
      <c r="I54" s="20"/>
      <c r="J54" s="30"/>
      <c r="O54" s="23"/>
    </row>
    <row r="55" spans="1:17" ht="13" thickBot="1" x14ac:dyDescent="0.3">
      <c r="B55" s="22"/>
      <c r="C55" s="22"/>
      <c r="D55" s="22"/>
      <c r="E55" s="22"/>
      <c r="F55" s="22"/>
      <c r="G55" s="21"/>
      <c r="H55" s="21"/>
      <c r="K55" s="17"/>
      <c r="L55" s="17"/>
      <c r="M55" s="17"/>
      <c r="N55" s="17"/>
      <c r="P55" s="17"/>
    </row>
    <row r="56" spans="1:17" ht="27" customHeight="1" thickTop="1" x14ac:dyDescent="0.25">
      <c r="D56" s="226" t="s">
        <v>72</v>
      </c>
      <c r="E56" s="227"/>
      <c r="F56" s="227"/>
      <c r="G56" s="24">
        <v>40</v>
      </c>
      <c r="H56" s="25"/>
    </row>
    <row r="57" spans="1:17" ht="27" customHeight="1" thickBot="1" x14ac:dyDescent="0.3">
      <c r="D57" s="228" t="s">
        <v>73</v>
      </c>
      <c r="E57" s="229"/>
      <c r="F57" s="229"/>
      <c r="G57" s="27"/>
      <c r="H57" s="28">
        <v>33</v>
      </c>
    </row>
  </sheetData>
  <mergeCells count="2">
    <mergeCell ref="D56:F56"/>
    <mergeCell ref="D57:F57"/>
  </mergeCells>
  <conditionalFormatting sqref="G54">
    <cfRule type="cellIs" dxfId="307" priority="13" stopIfTrue="1" operator="greaterThan">
      <formula>2.5</formula>
    </cfRule>
    <cfRule type="cellIs" dxfId="306" priority="14" stopIfTrue="1" operator="between">
      <formula>2.01</formula>
      <formula>2.5</formula>
    </cfRule>
  </conditionalFormatting>
  <conditionalFormatting sqref="H3:H53">
    <cfRule type="cellIs" dxfId="305" priority="12" stopIfTrue="1" operator="lessThan">
      <formula>1</formula>
    </cfRule>
  </conditionalFormatting>
  <conditionalFormatting sqref="G3:G53">
    <cfRule type="cellIs" dxfId="304" priority="10" stopIfTrue="1" operator="greaterThan">
      <formula>2.5</formula>
    </cfRule>
    <cfRule type="cellIs" dxfId="303" priority="11" stopIfTrue="1" operator="between">
      <formula>2.01</formula>
      <formula>2.5</formula>
    </cfRule>
  </conditionalFormatting>
  <conditionalFormatting sqref="K3:K52">
    <cfRule type="cellIs" dxfId="302" priority="8" stopIfTrue="1" operator="greaterThan">
      <formula>$F3*2.5</formula>
    </cfRule>
    <cfRule type="cellIs" dxfId="301" priority="9" stopIfTrue="1" operator="between">
      <formula>$F3*2</formula>
      <formula>$F3*2.5</formula>
    </cfRule>
  </conditionalFormatting>
  <conditionalFormatting sqref="G54">
    <cfRule type="cellIs" dxfId="300" priority="6" stopIfTrue="1" operator="greaterThan">
      <formula>2.5</formula>
    </cfRule>
    <cfRule type="cellIs" dxfId="299" priority="7" stopIfTrue="1" operator="between">
      <formula>2.01</formula>
      <formula>2.5</formula>
    </cfRule>
  </conditionalFormatting>
  <conditionalFormatting sqref="H3:H53">
    <cfRule type="cellIs" dxfId="298" priority="5" stopIfTrue="1" operator="lessThan">
      <formula>1</formula>
    </cfRule>
  </conditionalFormatting>
  <conditionalFormatting sqref="G3:G53">
    <cfRule type="cellIs" dxfId="297" priority="3" stopIfTrue="1" operator="greaterThan">
      <formula>2.5</formula>
    </cfRule>
    <cfRule type="cellIs" dxfId="296" priority="4" stopIfTrue="1" operator="between">
      <formula>2.01</formula>
      <formula>2.5</formula>
    </cfRule>
  </conditionalFormatting>
  <conditionalFormatting sqref="K3:K52">
    <cfRule type="cellIs" dxfId="295" priority="1" stopIfTrue="1" operator="greaterThan">
      <formula>$F3*2.5</formula>
    </cfRule>
    <cfRule type="cellIs" dxfId="294" priority="2" stopIfTrue="1" operator="between">
      <formula>$F3*2</formula>
      <formula>$F3*2.5</formula>
    </cfRule>
  </conditionalFormatting>
  <pageMargins left="0.75" right="0.75" top="1" bottom="0.75" header="0" footer="0"/>
  <pageSetup scale="74" orientation="portrait" horizontalDpi="4294949522" verticalDpi="18" r:id="rId1"/>
  <headerFooter alignWithMargins="0">
    <oddHeader>&amp;LA67CAAA
&amp;A&amp;CU.S. Department of Housing and Urban Development
Line of Credit Control System (LOCCS)
State Allocation of Expenditure Report for CPD Block Grant Programs
State Rankings</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FieldOperationDocument" ma:contentTypeID="0x0101002654A12DDF3B1D42AB168B87ED79C246009632E007CE72FB4695F9DC9FDE2E29EF" ma:contentTypeVersion="24" ma:contentTypeDescription="" ma:contentTypeScope="" ma:versionID="858e540dbd36b55daf64cf84157f90b3">
  <xsd:schema xmlns:xsd="http://www.w3.org/2001/XMLSchema" xmlns:xs="http://www.w3.org/2001/XMLSchema" xmlns:p="http://schemas.microsoft.com/office/2006/metadata/properties" xmlns:ns1="http://schemas.microsoft.com/sharepoint/v3" xmlns:ns2="ef0723dc-753f-4706-8d27-eaa00005cede" xmlns:ns4="32f440aa-8c0a-40c4-8fd4-d306f224d588" targetNamespace="http://schemas.microsoft.com/office/2006/metadata/properties" ma:root="true" ma:fieldsID="73dd551edc230720b3f28380ae89b26c" ns1:_="" ns2:_="" ns4:_="">
    <xsd:import namespace="http://schemas.microsoft.com/sharepoint/v3"/>
    <xsd:import namespace="ef0723dc-753f-4706-8d27-eaa00005cede"/>
    <xsd:import namespace="32f440aa-8c0a-40c4-8fd4-d306f224d588"/>
    <xsd:element name="properties">
      <xsd:complexType>
        <xsd:sequence>
          <xsd:element name="documentManagement">
            <xsd:complexType>
              <xsd:all>
                <xsd:element ref="ns1:_ExtendedDescription" minOccurs="0"/>
                <xsd:element ref="ns2:FY" minOccurs="0"/>
                <xsd:element ref="ns2:i99105b110f944a68f44bafdabfc6734" minOccurs="0"/>
                <xsd:element ref="ns2:TaxCatchAll" minOccurs="0"/>
                <xsd:element ref="ns2:TaxCatchAllLabel" minOccurs="0"/>
                <xsd:element ref="ns2:e093226b42e142389ca5ba5cd73c1064" minOccurs="0"/>
                <xsd:element ref="ns4:SourcePath" minOccurs="0"/>
                <xsd:element ref="ns4:MigratedFolder" minOccurs="0"/>
                <xsd:element ref="ns4:SourceID" minOccurs="0"/>
                <xsd:element ref="ns4:CopiedToLoction" minOccurs="0"/>
                <xsd:element ref="ns4:SteveVer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2" nillable="true" ma:displayName="Descriptio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0723dc-753f-4706-8d27-eaa00005cede" elementFormDefault="qualified">
    <xsd:import namespace="http://schemas.microsoft.com/office/2006/documentManagement/types"/>
    <xsd:import namespace="http://schemas.microsoft.com/office/infopath/2007/PartnerControls"/>
    <xsd:element name="FY" ma:index="3" nillable="true" ma:displayName="FY" ma:format="Dropdown" ma:internalName="FY">
      <xsd:simpleType>
        <xsd:restriction base="dms:Choice">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i99105b110f944a68f44bafdabfc6734" ma:index="11" nillable="true" ma:taxonomy="true" ma:internalName="i99105b110f944a68f44bafdabfc6734" ma:taxonomyFieldName="Field_x0020_Library_x0020_Category" ma:displayName="Category" ma:default="" ma:fieldId="{299105b1-10f9-44a6-8f44-bafdabfc6734}" ma:taxonomyMulti="true" ma:sspId="28ad26c7-5542-4eee-b3ec-aeac87adbba8" ma:termSetId="3fc2d46b-e014-49f9-a0c2-7fb34394426c"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4adadd0-4487-419f-ab64-c23bd8aaec2e}" ma:internalName="TaxCatchAll" ma:showField="CatchAllData" ma:web="ef0723dc-753f-4706-8d27-eaa00005cede">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4adadd0-4487-419f-ab64-c23bd8aaec2e}" ma:internalName="TaxCatchAllLabel" ma:readOnly="true" ma:showField="CatchAllDataLabel" ma:web="ef0723dc-753f-4706-8d27-eaa00005cede">
      <xsd:complexType>
        <xsd:complexContent>
          <xsd:extension base="dms:MultiChoiceLookup">
            <xsd:sequence>
              <xsd:element name="Value" type="dms:Lookup" maxOccurs="unbounded" minOccurs="0" nillable="true"/>
            </xsd:sequence>
          </xsd:extension>
        </xsd:complexContent>
      </xsd:complexType>
    </xsd:element>
    <xsd:element name="e093226b42e142389ca5ba5cd73c1064" ma:index="15" nillable="true" ma:taxonomy="true" ma:internalName="e093226b42e142389ca5ba5cd73c1064" ma:taxonomyFieldName="Region_x0020__x002F__x0020_Field_x0020_Office" ma:displayName="Region / Field Office" ma:default="" ma:fieldId="{e093226b-42e1-4238-9ca5-ba5cd73c1064}" ma:sspId="28ad26c7-5542-4eee-b3ec-aeac87adbba8" ma:termSetId="cf93ed96-e77c-432c-bc42-5e12bca2719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2f440aa-8c0a-40c4-8fd4-d306f224d588" elementFormDefault="qualified">
    <xsd:import namespace="http://schemas.microsoft.com/office/2006/documentManagement/types"/>
    <xsd:import namespace="http://schemas.microsoft.com/office/infopath/2007/PartnerControls"/>
    <xsd:element name="SourcePath" ma:index="17" nillable="true" ma:displayName="SourcePath" ma:format="Dropdown" ma:internalName="SourcePath">
      <xsd:simpleType>
        <xsd:restriction base="dms:Note">
          <xsd:maxLength value="255"/>
        </xsd:restriction>
      </xsd:simpleType>
    </xsd:element>
    <xsd:element name="MigratedFolder" ma:index="18" nillable="true" ma:displayName="MigratedFolder" ma:format="Dropdown" ma:internalName="MigratedFolder">
      <xsd:simpleType>
        <xsd:restriction base="dms:Text">
          <xsd:maxLength value="255"/>
        </xsd:restriction>
      </xsd:simpleType>
    </xsd:element>
    <xsd:element name="SourceID" ma:index="19" nillable="true" ma:displayName="SourceID" ma:format="Dropdown" ma:internalName="SourceID" ma:percentage="FALSE">
      <xsd:simpleType>
        <xsd:restriction base="dms:Number"/>
      </xsd:simpleType>
    </xsd:element>
    <xsd:element name="CopiedToLoction" ma:index="20" nillable="true" ma:displayName="CopiedToLoction" ma:format="Dropdown" ma:internalName="CopiedToLoction">
      <xsd:simpleType>
        <xsd:restriction base="dms:Choice">
          <xsd:enumeration value="Yes"/>
          <xsd:enumeration value="No"/>
        </xsd:restriction>
      </xsd:simpleType>
    </xsd:element>
    <xsd:element name="SteveVerification" ma:index="21" nillable="true" ma:displayName="SteveVerification" ma:internalName="SteveVerifica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7689C814-1987-4638-9CCD-CD3E141A1A18}">
  <ds:schemaRefs>
    <ds:schemaRef ds:uri="http://schemas.microsoft.com/sharepoint/v3/contenttype/forms"/>
  </ds:schemaRefs>
</ds:datastoreItem>
</file>

<file path=customXml/itemProps2.xml><?xml version="1.0" encoding="utf-8"?>
<ds:datastoreItem xmlns:ds="http://schemas.openxmlformats.org/officeDocument/2006/customXml" ds:itemID="{CBF5321F-FD56-4202-81AC-107807D3F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0723dc-753f-4706-8d27-eaa00005cede"/>
    <ds:schemaRef ds:uri="32f440aa-8c0a-40c4-8fd4-d306f224d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9B7244-7371-44D2-9CF0-6934D747BE0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8</vt:i4>
      </vt:variant>
    </vt:vector>
  </HeadingPairs>
  <TitlesOfParts>
    <vt:vector size="40" baseType="lpstr">
      <vt:lpstr>Apr'24</vt:lpstr>
      <vt:lpstr>May'24</vt:lpstr>
      <vt:lpstr>Jun'24</vt:lpstr>
      <vt:lpstr>Jul'24</vt:lpstr>
      <vt:lpstr>Aug'24</vt:lpstr>
      <vt:lpstr>Sep'24</vt:lpstr>
      <vt:lpstr>Oct'24</vt:lpstr>
      <vt:lpstr>Nov'24</vt:lpstr>
      <vt:lpstr>Dec'24</vt:lpstr>
      <vt:lpstr>Jan'25</vt:lpstr>
      <vt:lpstr>Feb'25</vt:lpstr>
      <vt:lpstr>Mar'25</vt:lpstr>
      <vt:lpstr>Apr'25</vt:lpstr>
      <vt:lpstr>May'25</vt:lpstr>
      <vt:lpstr>Jun'25</vt:lpstr>
      <vt:lpstr>Jul'25</vt:lpstr>
      <vt:lpstr>Aug'25</vt:lpstr>
      <vt:lpstr>Sep'25</vt:lpstr>
      <vt:lpstr>Oct'25</vt:lpstr>
      <vt:lpstr>Nov'25</vt:lpstr>
      <vt:lpstr>Dec'25</vt:lpstr>
      <vt:lpstr>Jan'26</vt:lpstr>
      <vt:lpstr>Feb'26</vt:lpstr>
      <vt:lpstr>Mar'26</vt:lpstr>
      <vt:lpstr>Apr'26</vt:lpstr>
      <vt:lpstr>US Chart</vt:lpstr>
      <vt:lpstr>State Chart</vt:lpstr>
      <vt:lpstr>Rankings</vt:lpstr>
      <vt:lpstr>States by Mo</vt:lpstr>
      <vt:lpstr>Column Descriptions</vt:lpstr>
      <vt:lpstr>template</vt:lpstr>
      <vt:lpstr>LOCCS Import</vt:lpstr>
      <vt:lpstr>CurrentFY</vt:lpstr>
      <vt:lpstr>FY_ratios</vt:lpstr>
      <vt:lpstr>Rankings!Print_Area</vt:lpstr>
      <vt:lpstr>'State Chart'!Print_Area</vt:lpstr>
      <vt:lpstr>'States by Mo'!Print_Area</vt:lpstr>
      <vt:lpstr>'US Chart'!Print_Area</vt:lpstr>
      <vt:lpstr>'State Chart'!Print_Titles</vt:lpstr>
      <vt:lpstr>'States by Mo'!Print_Titles</vt:lpstr>
    </vt:vector>
  </TitlesOfParts>
  <Manager>Diane Lobasso</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CDBG Timely Expenditure Report</dc:title>
  <dc:subject/>
  <dc:creator>HUD CPD</dc:creator>
  <cp:keywords/>
  <dc:description/>
  <cp:lastModifiedBy>Jenna Hampton</cp:lastModifiedBy>
  <cp:revision/>
  <dcterms:created xsi:type="dcterms:W3CDTF">2007-11-01T14:33:16Z</dcterms:created>
  <dcterms:modified xsi:type="dcterms:W3CDTF">2026-05-15T13:57:14Z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ield_x0020_Library_x0020_Category">
    <vt:lpwstr>29;#CDBG-State|9eea819a-15db-4354-a2d5-288ab785fa10</vt:lpwstr>
  </property>
  <property fmtid="{D5CDD505-2E9C-101B-9397-08002B2CF9AE}" pid="4" name="MediaServiceImageTags">
    <vt:lpwstr/>
  </property>
  <property fmtid="{D5CDD505-2E9C-101B-9397-08002B2CF9AE}" pid="5" name="Field Library Category">
    <vt:lpwstr>29;#CDBG-State|9eea819a-15db-4354-a2d5-288ab785fa10</vt:lpwstr>
  </property>
  <property fmtid="{D5CDD505-2E9C-101B-9397-08002B2CF9AE}" pid="6" name="e093226b42e142389ca5ba5cd73c1064">
    <vt:lpwstr/>
  </property>
  <property fmtid="{D5CDD505-2E9C-101B-9397-08002B2CF9AE}" pid="7" name="i99105b110f944a68f44bafdabfc6734">
    <vt:lpwstr>CDBG-State|9eea819a-15db-4354-a2d5-288ab785fa10</vt:lpwstr>
  </property>
  <property fmtid="{D5CDD505-2E9C-101B-9397-08002B2CF9AE}" pid="8" name="Region_x0020__x002F__x0020_Field_x0020_Office">
    <vt:lpwstr/>
  </property>
  <property fmtid="{D5CDD505-2E9C-101B-9397-08002B2CF9AE}" pid="9" name="TaxCatchAll">
    <vt:lpwstr>29;#CDBG-State|9eea819a-15db-4354-a2d5-288ab785fa10</vt:lpwstr>
  </property>
  <property fmtid="{D5CDD505-2E9C-101B-9397-08002B2CF9AE}" pid="10" name="lcf76f155ced4ddcb4097134ff3c332f">
    <vt:lpwstr/>
  </property>
</Properties>
</file>